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6735" tabRatio="689"/>
  </bookViews>
  <sheets>
    <sheet name="連合専用条件入力画面" sheetId="2" r:id="rId1"/>
    <sheet name="上下水道料金計算" sheetId="3" r:id="rId2"/>
    <sheet name="料金表" sheetId="1" r:id="rId3"/>
    <sheet name="水道連合専用との比較表" sheetId="4" r:id="rId4"/>
    <sheet name="下水道説明資料" sheetId="5" r:id="rId5"/>
  </sheets>
  <calcPr calcId="152511"/>
</workbook>
</file>

<file path=xl/calcChain.xml><?xml version="1.0" encoding="utf-8"?>
<calcChain xmlns="http://schemas.openxmlformats.org/spreadsheetml/2006/main">
  <c r="B16" i="5" l="1"/>
  <c r="B8" i="5"/>
  <c r="R36" i="3" l="1"/>
  <c r="B16" i="4" l="1"/>
  <c r="C49" i="3" l="1"/>
  <c r="A89" i="3" l="1"/>
  <c r="C88" i="3" l="1"/>
  <c r="C85" i="3"/>
  <c r="C82" i="3"/>
  <c r="C79" i="3"/>
  <c r="A128" i="3"/>
  <c r="A126" i="3"/>
  <c r="O10" i="1"/>
  <c r="A127" i="3" s="1"/>
  <c r="O9" i="1"/>
  <c r="O8" i="1"/>
  <c r="A125" i="3" s="1"/>
  <c r="O7" i="1"/>
  <c r="A124" i="3" s="1"/>
  <c r="C89" i="3" l="1"/>
  <c r="C87" i="3"/>
  <c r="C84" i="3"/>
  <c r="C81" i="3"/>
  <c r="C78" i="3"/>
  <c r="B98" i="3" l="1"/>
  <c r="B74" i="3"/>
  <c r="A122" i="3" l="1"/>
  <c r="S10" i="5"/>
  <c r="M11" i="5"/>
  <c r="L10" i="5"/>
  <c r="B6" i="5"/>
  <c r="B4" i="5"/>
  <c r="H72" i="3" l="1"/>
  <c r="E72" i="3"/>
  <c r="C72" i="3"/>
  <c r="H49" i="3"/>
  <c r="E49" i="3"/>
  <c r="H3" i="3"/>
  <c r="E3" i="3"/>
  <c r="C3" i="3"/>
  <c r="B8" i="3" s="1"/>
  <c r="E88" i="3" l="1"/>
  <c r="G88" i="3" s="1"/>
  <c r="A107" i="3" s="1"/>
  <c r="J10" i="3"/>
  <c r="B58" i="3"/>
  <c r="B54" i="3"/>
  <c r="B57" i="3"/>
  <c r="B56" i="3"/>
  <c r="B55" i="3"/>
  <c r="B107" i="3"/>
  <c r="L37" i="5"/>
  <c r="E85" i="3"/>
  <c r="G85" i="3" s="1"/>
  <c r="B20" i="5"/>
  <c r="B37" i="5"/>
  <c r="L4" i="5"/>
  <c r="E82" i="3"/>
  <c r="G82" i="3" s="1"/>
  <c r="E79" i="3"/>
  <c r="G79" i="3" s="1"/>
  <c r="D74" i="3"/>
  <c r="D76" i="3"/>
  <c r="F76" i="3" s="1"/>
  <c r="B8" i="4"/>
  <c r="A81" i="3" l="1"/>
  <c r="A106" i="3"/>
  <c r="A87" i="3"/>
  <c r="A84" i="3"/>
  <c r="F74" i="3"/>
  <c r="A103" i="3" s="1"/>
  <c r="C90" i="3"/>
  <c r="A105" i="3"/>
  <c r="A104" i="3"/>
  <c r="E107" i="3"/>
  <c r="K88" i="3"/>
  <c r="L88" i="3" s="1"/>
  <c r="D107" i="3"/>
  <c r="F107" i="3" s="1"/>
  <c r="C107" i="3"/>
  <c r="K82" i="3"/>
  <c r="L82" i="3" s="1"/>
  <c r="K85" i="3"/>
  <c r="B105" i="3" s="1"/>
  <c r="E37" i="3"/>
  <c r="C37" i="3"/>
  <c r="B106" i="3" l="1"/>
  <c r="B27" i="5" s="1"/>
  <c r="K79" i="3"/>
  <c r="A78" i="3"/>
  <c r="L85" i="3"/>
  <c r="H27" i="5"/>
  <c r="B104" i="3"/>
  <c r="E106" i="3" l="1"/>
  <c r="C106" i="3"/>
  <c r="D106" i="3"/>
  <c r="F106" i="3" s="1"/>
  <c r="G27" i="5"/>
  <c r="B103" i="3"/>
  <c r="H24" i="5" s="1"/>
  <c r="L79" i="3"/>
  <c r="D105" i="3"/>
  <c r="H26" i="5"/>
  <c r="D104" i="3"/>
  <c r="C104" i="3"/>
  <c r="E104" i="3"/>
  <c r="C105" i="3"/>
  <c r="E105" i="3"/>
  <c r="N5" i="2"/>
  <c r="E103" i="3" l="1"/>
  <c r="D103" i="3"/>
  <c r="B24" i="5" s="1"/>
  <c r="C103" i="3"/>
  <c r="F104" i="3"/>
  <c r="F105" i="3"/>
  <c r="F122" i="3"/>
  <c r="R10" i="5" s="1"/>
  <c r="F119" i="3"/>
  <c r="C119" i="3"/>
  <c r="B125" i="3" l="1"/>
  <c r="B124" i="3"/>
  <c r="B127" i="3"/>
  <c r="B126" i="3"/>
  <c r="B128" i="3"/>
  <c r="B4" i="4"/>
  <c r="L14" i="5" l="1"/>
  <c r="L26" i="5"/>
  <c r="S21" i="5"/>
  <c r="L20" i="5"/>
  <c r="L23" i="5"/>
  <c r="L17" i="5"/>
  <c r="S27" i="5"/>
  <c r="D128" i="3"/>
  <c r="F128" i="3" s="1"/>
  <c r="R27" i="5" s="1"/>
  <c r="C128" i="3"/>
  <c r="E128" i="3"/>
  <c r="S15" i="5"/>
  <c r="S18" i="5"/>
  <c r="S24" i="5"/>
  <c r="E127" i="3"/>
  <c r="C127" i="3"/>
  <c r="D127" i="3"/>
  <c r="C124" i="3"/>
  <c r="D124" i="3"/>
  <c r="F124" i="3" s="1"/>
  <c r="R15" i="5" s="1"/>
  <c r="E124" i="3"/>
  <c r="D126" i="3"/>
  <c r="E126" i="3"/>
  <c r="C126" i="3"/>
  <c r="C125" i="3"/>
  <c r="D125" i="3"/>
  <c r="F125" i="3" s="1"/>
  <c r="R18" i="5" s="1"/>
  <c r="E125" i="3"/>
  <c r="B130" i="3"/>
  <c r="B52" i="3"/>
  <c r="A52" i="3"/>
  <c r="L27" i="5" l="1"/>
  <c r="L18" i="5"/>
  <c r="L15" i="5"/>
  <c r="S29" i="5"/>
  <c r="F127" i="3"/>
  <c r="R24" i="5" s="1"/>
  <c r="F126" i="3"/>
  <c r="F96" i="3"/>
  <c r="L24" i="5" l="1"/>
  <c r="R21" i="5"/>
  <c r="L21" i="5"/>
  <c r="F130" i="3"/>
  <c r="Q22" i="2" s="1"/>
  <c r="A58" i="3"/>
  <c r="A57" i="3"/>
  <c r="L23" i="4" s="1"/>
  <c r="A56" i="3"/>
  <c r="L20" i="4" s="1"/>
  <c r="A55" i="3"/>
  <c r="L17" i="4" s="1"/>
  <c r="A54" i="3"/>
  <c r="L14" i="4" s="1"/>
  <c r="C96" i="3"/>
  <c r="L26" i="4"/>
  <c r="R34" i="3"/>
  <c r="R35" i="3"/>
  <c r="R37" i="3"/>
  <c r="R33" i="3"/>
  <c r="R32" i="3"/>
  <c r="R31" i="3"/>
  <c r="R29" i="3"/>
  <c r="D98" i="3" l="1"/>
  <c r="F98" i="3" s="1"/>
  <c r="B108" i="3" s="1"/>
  <c r="B59" i="3"/>
  <c r="B61" i="3"/>
  <c r="C58" i="3"/>
  <c r="E58" i="3"/>
  <c r="D58" i="3"/>
  <c r="F58" i="3" s="1"/>
  <c r="S18" i="4"/>
  <c r="C55" i="3"/>
  <c r="E55" i="3"/>
  <c r="D55" i="3"/>
  <c r="F55" i="3" s="1"/>
  <c r="S24" i="4"/>
  <c r="D57" i="3"/>
  <c r="F57" i="3" s="1"/>
  <c r="C57" i="3"/>
  <c r="E57" i="3"/>
  <c r="C54" i="3"/>
  <c r="E54" i="3"/>
  <c r="D54" i="3"/>
  <c r="F54" i="3" s="1"/>
  <c r="S21" i="4"/>
  <c r="E56" i="3"/>
  <c r="D56" i="3"/>
  <c r="F56" i="3" s="1"/>
  <c r="C56" i="3"/>
  <c r="B6" i="4"/>
  <c r="S15" i="4"/>
  <c r="A33" i="3"/>
  <c r="A34" i="3"/>
  <c r="L37" i="4"/>
  <c r="L4" i="4"/>
  <c r="D52" i="3"/>
  <c r="B37" i="4"/>
  <c r="B29" i="3"/>
  <c r="A29" i="3"/>
  <c r="A31" i="3"/>
  <c r="A35" i="3"/>
  <c r="A32" i="3"/>
  <c r="D29" i="3"/>
  <c r="J13" i="3"/>
  <c r="J19" i="3"/>
  <c r="J16" i="3"/>
  <c r="F101" i="3" l="1"/>
  <c r="H23" i="5"/>
  <c r="G24" i="5"/>
  <c r="B14" i="5"/>
  <c r="D19" i="5"/>
  <c r="E14" i="5"/>
  <c r="R18" i="4"/>
  <c r="R21" i="4"/>
  <c r="R24" i="4"/>
  <c r="L15" i="4"/>
  <c r="R10" i="4"/>
  <c r="S29" i="4"/>
  <c r="L21" i="4"/>
  <c r="C59" i="3"/>
  <c r="E59" i="3"/>
  <c r="D59" i="3"/>
  <c r="F59" i="3" s="1"/>
  <c r="F52" i="3"/>
  <c r="L10" i="4"/>
  <c r="F103" i="3"/>
  <c r="F29" i="3"/>
  <c r="L24" i="4"/>
  <c r="L18" i="4"/>
  <c r="R15" i="4"/>
  <c r="G23" i="5" l="1"/>
  <c r="B12" i="5"/>
  <c r="F108" i="3"/>
  <c r="B23" i="5"/>
  <c r="E12" i="5"/>
  <c r="B10" i="5"/>
  <c r="R29" i="5"/>
  <c r="L28" i="4"/>
  <c r="R28" i="4" s="1"/>
  <c r="F61" i="3"/>
  <c r="Q21" i="2" s="1"/>
  <c r="Q23" i="2" s="1"/>
  <c r="Q8" i="2" s="1"/>
  <c r="A101" i="3"/>
  <c r="M11" i="4"/>
  <c r="E26" i="3"/>
  <c r="G26" i="3" s="1"/>
  <c r="C25" i="3"/>
  <c r="E20" i="3"/>
  <c r="G20" i="3" s="1"/>
  <c r="E17" i="3"/>
  <c r="G17" i="3" s="1"/>
  <c r="E14" i="3"/>
  <c r="G14" i="3" s="1"/>
  <c r="E11" i="3"/>
  <c r="G11" i="3" s="1"/>
  <c r="C22" i="3"/>
  <c r="C19" i="3"/>
  <c r="C16" i="3"/>
  <c r="C13" i="3"/>
  <c r="C10" i="3"/>
  <c r="D8" i="3"/>
  <c r="D6" i="3"/>
  <c r="D18" i="5" s="1"/>
  <c r="L34" i="5" l="1"/>
  <c r="O35" i="5"/>
  <c r="P37" i="5" s="1"/>
  <c r="K14" i="3"/>
  <c r="B32" i="3" s="1"/>
  <c r="B25" i="5" s="1"/>
  <c r="S28" i="4"/>
  <c r="R29" i="4"/>
  <c r="F6" i="3"/>
  <c r="B28" i="4" s="1"/>
  <c r="F8" i="3"/>
  <c r="B12" i="4"/>
  <c r="B20" i="4"/>
  <c r="K17" i="3"/>
  <c r="L17" i="3" s="1"/>
  <c r="B35" i="3"/>
  <c r="B28" i="5" s="1"/>
  <c r="K20" i="3"/>
  <c r="L20" i="3" s="1"/>
  <c r="B33" i="3" l="1"/>
  <c r="B26" i="5" s="1"/>
  <c r="G25" i="5"/>
  <c r="B34" i="3"/>
  <c r="H25" i="5"/>
  <c r="H30" i="5" s="1"/>
  <c r="B10" i="4"/>
  <c r="K11" i="3"/>
  <c r="B31" i="3" s="1"/>
  <c r="A36" i="3"/>
  <c r="B36" i="3"/>
  <c r="E32" i="3"/>
  <c r="C32" i="3"/>
  <c r="D32" i="3"/>
  <c r="F32" i="3" s="1"/>
  <c r="D35" i="3"/>
  <c r="F35" i="3" s="1"/>
  <c r="E35" i="3"/>
  <c r="C35" i="3"/>
  <c r="D19" i="4"/>
  <c r="H25" i="4"/>
  <c r="E12" i="4"/>
  <c r="D18" i="4"/>
  <c r="B23" i="4"/>
  <c r="G23" i="4"/>
  <c r="H23" i="4"/>
  <c r="E14" i="4"/>
  <c r="B14" i="4"/>
  <c r="L14" i="3"/>
  <c r="D34" i="3" l="1"/>
  <c r="F34" i="3" s="1"/>
  <c r="G27" i="4" s="1"/>
  <c r="C34" i="3"/>
  <c r="E34" i="3"/>
  <c r="H26" i="4"/>
  <c r="H27" i="4"/>
  <c r="D33" i="3"/>
  <c r="F33" i="3" s="1"/>
  <c r="G26" i="4" s="1"/>
  <c r="G26" i="5"/>
  <c r="G25" i="4"/>
  <c r="C33" i="3"/>
  <c r="E33" i="3"/>
  <c r="L11" i="3"/>
  <c r="B25" i="4"/>
  <c r="B29" i="4"/>
  <c r="D36" i="3"/>
  <c r="F36" i="3" s="1"/>
  <c r="G28" i="5" s="1"/>
  <c r="H28" i="5" s="1"/>
  <c r="E36" i="3"/>
  <c r="C36" i="3"/>
  <c r="B27" i="4" l="1"/>
  <c r="B26" i="4"/>
  <c r="G30" i="5"/>
  <c r="G29" i="4"/>
  <c r="H29" i="4" s="1"/>
  <c r="D31" i="3"/>
  <c r="G24" i="4" s="1"/>
  <c r="C31" i="3"/>
  <c r="E31" i="3"/>
  <c r="B38" i="3"/>
  <c r="H24" i="4"/>
  <c r="H30" i="4" s="1"/>
  <c r="B34" i="5" l="1"/>
  <c r="E35" i="5"/>
  <c r="G37" i="5" s="1"/>
  <c r="G30" i="4"/>
  <c r="E35" i="4" s="1"/>
  <c r="G37" i="4" s="1"/>
  <c r="B24" i="4"/>
  <c r="F31" i="3"/>
  <c r="F38" i="3" s="1"/>
  <c r="Q26" i="2" s="1"/>
  <c r="B34" i="4" l="1"/>
  <c r="L34" i="4"/>
  <c r="O35" i="4"/>
  <c r="P37" i="4" s="1"/>
  <c r="Q27" i="2"/>
  <c r="Q28" i="2" s="1"/>
  <c r="Q12" i="2" s="1"/>
  <c r="Q15" i="2" s="1"/>
</calcChain>
</file>

<file path=xl/comments1.xml><?xml version="1.0" encoding="utf-8"?>
<comments xmlns="http://schemas.openxmlformats.org/spreadsheetml/2006/main">
  <authors>
    <author>恩納村役場</author>
  </authors>
  <commentList>
    <comment ref="O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基本水量の変更した場合の計算可能
</t>
        </r>
      </text>
    </comment>
    <comment ref="Q7" authorId="0" shapeId="0">
      <text>
        <r>
          <rPr>
            <sz val="9"/>
            <color indexed="81"/>
            <rFont val="ＭＳ Ｐゴシック"/>
            <family val="3"/>
            <charset val="128"/>
          </rPr>
          <t>範囲の変更可能
保護を設定しているため校閲クリックしシートの解除を行い数値の値を変更することができる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10㎥以上の単価が同じあれば全ての範囲内に同一単価を入力すること</t>
        </r>
      </text>
    </comment>
  </commentList>
</comments>
</file>

<file path=xl/sharedStrings.xml><?xml version="1.0" encoding="utf-8"?>
<sst xmlns="http://schemas.openxmlformats.org/spreadsheetml/2006/main" count="252" uniqueCount="119">
  <si>
    <t>種別</t>
    <rPh sb="0" eb="2">
      <t>シュベツ</t>
    </rPh>
    <phoneticPr fontId="2"/>
  </si>
  <si>
    <t>基本料金
(１ヶ月につき)</t>
    <rPh sb="0" eb="2">
      <t>キホン</t>
    </rPh>
    <rPh sb="2" eb="4">
      <t>リョウキン</t>
    </rPh>
    <rPh sb="8" eb="9">
      <t>ゲツ</t>
    </rPh>
    <phoneticPr fontId="2"/>
  </si>
  <si>
    <t>専用
給水
装置</t>
    <rPh sb="0" eb="2">
      <t>センヨウ</t>
    </rPh>
    <rPh sb="3" eb="5">
      <t>キュウスイ</t>
    </rPh>
    <rPh sb="6" eb="8">
      <t>ソウチ</t>
    </rPh>
    <phoneticPr fontId="2"/>
  </si>
  <si>
    <t>一般用</t>
    <rPh sb="0" eb="3">
      <t>イッパンヨウ</t>
    </rPh>
    <phoneticPr fontId="2"/>
  </si>
  <si>
    <t>メーター
口径</t>
    <rPh sb="5" eb="7">
      <t>コウケイ</t>
    </rPh>
    <phoneticPr fontId="2"/>
  </si>
  <si>
    <t>1㎥につき450　円</t>
    <rPh sb="9" eb="10">
      <t>エン</t>
    </rPh>
    <phoneticPr fontId="2"/>
  </si>
  <si>
    <t>使用
水量
8㎥まで</t>
    <rPh sb="0" eb="2">
      <t>シヨウ</t>
    </rPh>
    <rPh sb="3" eb="5">
      <t>スイリョウ</t>
    </rPh>
    <phoneticPr fontId="2"/>
  </si>
  <si>
    <t>臨時用</t>
    <rPh sb="0" eb="2">
      <t>リンジ</t>
    </rPh>
    <rPh sb="2" eb="3">
      <t>ヨウ</t>
    </rPh>
    <phoneticPr fontId="2"/>
  </si>
  <si>
    <t>用途別</t>
    <rPh sb="0" eb="2">
      <t>ヨウト</t>
    </rPh>
    <rPh sb="2" eb="3">
      <t>ベツ</t>
    </rPh>
    <phoneticPr fontId="2"/>
  </si>
  <si>
    <t>演習用</t>
    <rPh sb="0" eb="3">
      <t>エンシュウヨウ</t>
    </rPh>
    <phoneticPr fontId="2"/>
  </si>
  <si>
    <t>私設消
火栓</t>
    <rPh sb="0" eb="2">
      <t>シセツ</t>
    </rPh>
    <rPh sb="2" eb="3">
      <t>キエル</t>
    </rPh>
    <rPh sb="4" eb="5">
      <t>ヒ</t>
    </rPh>
    <rPh sb="5" eb="6">
      <t>セン</t>
    </rPh>
    <phoneticPr fontId="2"/>
  </si>
  <si>
    <t>1個1回3分毎に800円</t>
    <rPh sb="1" eb="2">
      <t>コ</t>
    </rPh>
    <rPh sb="3" eb="4">
      <t>カイ</t>
    </rPh>
    <rPh sb="5" eb="6">
      <t>プン</t>
    </rPh>
    <rPh sb="6" eb="7">
      <t>ゴト</t>
    </rPh>
    <rPh sb="11" eb="12">
      <t>エン</t>
    </rPh>
    <phoneticPr fontId="2"/>
  </si>
  <si>
    <t>使用水量0㎥を超え8㎥まで口径30㎜以上に適用</t>
    <rPh sb="0" eb="2">
      <t>シヨウ</t>
    </rPh>
    <rPh sb="2" eb="4">
      <t>スイリョウ</t>
    </rPh>
    <rPh sb="7" eb="8">
      <t>コ</t>
    </rPh>
    <rPh sb="13" eb="15">
      <t>コウケイ</t>
    </rPh>
    <rPh sb="18" eb="20">
      <t>イジョウ</t>
    </rPh>
    <rPh sb="21" eb="23">
      <t>テキヨウ</t>
    </rPh>
    <phoneticPr fontId="2"/>
  </si>
  <si>
    <t>使用水量8㎥を超え30㎥まで</t>
    <rPh sb="0" eb="2">
      <t>シヨウ</t>
    </rPh>
    <rPh sb="2" eb="4">
      <t>スイリョウ</t>
    </rPh>
    <rPh sb="7" eb="8">
      <t>コ</t>
    </rPh>
    <phoneticPr fontId="2"/>
  </si>
  <si>
    <t>使用水量30㎥を超え50㎥まで</t>
    <rPh sb="0" eb="2">
      <t>シヨウ</t>
    </rPh>
    <rPh sb="2" eb="4">
      <t>スイリョウ</t>
    </rPh>
    <rPh sb="8" eb="9">
      <t>コ</t>
    </rPh>
    <phoneticPr fontId="2"/>
  </si>
  <si>
    <t>使用水量50㎥を超え100㎥まで</t>
    <rPh sb="0" eb="2">
      <t>シヨウ</t>
    </rPh>
    <rPh sb="2" eb="4">
      <t>スイリョウ</t>
    </rPh>
    <rPh sb="8" eb="9">
      <t>コ</t>
    </rPh>
    <phoneticPr fontId="2"/>
  </si>
  <si>
    <t>使用水量100㎥を超え400㎥まで</t>
    <rPh sb="0" eb="2">
      <t>シヨウ</t>
    </rPh>
    <rPh sb="2" eb="4">
      <t>スイリョウ</t>
    </rPh>
    <rPh sb="9" eb="10">
      <t>コ</t>
    </rPh>
    <phoneticPr fontId="2"/>
  </si>
  <si>
    <t>使用水量400㎥を超を超えるもの</t>
    <rPh sb="0" eb="2">
      <t>シヨウ</t>
    </rPh>
    <rPh sb="2" eb="4">
      <t>スイリョウ</t>
    </rPh>
    <rPh sb="9" eb="10">
      <t>コ</t>
    </rPh>
    <rPh sb="11" eb="12">
      <t>コ</t>
    </rPh>
    <phoneticPr fontId="2"/>
  </si>
  <si>
    <t>超過料金</t>
    <rPh sb="0" eb="2">
      <t>チョウカ</t>
    </rPh>
    <rPh sb="2" eb="4">
      <t>リョウキン</t>
    </rPh>
    <phoneticPr fontId="2"/>
  </si>
  <si>
    <t>連合専用
給水装置</t>
    <rPh sb="0" eb="2">
      <t>レンゴウ</t>
    </rPh>
    <rPh sb="2" eb="4">
      <t>センヨウ</t>
    </rPh>
    <rPh sb="5" eb="7">
      <t>キュウスイ</t>
    </rPh>
    <rPh sb="7" eb="9">
      <t>ソウチ</t>
    </rPh>
    <phoneticPr fontId="2"/>
  </si>
  <si>
    <t>1戸(世帯)につき基本料金は、設置メーター又は引込み管口径による。この場合の料金算定の基礎となる使用量は、各戸均等に使用したものとする。</t>
    <rPh sb="1" eb="2">
      <t>ト</t>
    </rPh>
    <rPh sb="3" eb="5">
      <t>セタイ</t>
    </rPh>
    <rPh sb="9" eb="11">
      <t>キホン</t>
    </rPh>
    <rPh sb="11" eb="13">
      <t>リョウキン</t>
    </rPh>
    <rPh sb="15" eb="17">
      <t>セッチ</t>
    </rPh>
    <rPh sb="21" eb="22">
      <t>マタ</t>
    </rPh>
    <rPh sb="23" eb="24">
      <t>ヒ</t>
    </rPh>
    <rPh sb="24" eb="25">
      <t>コ</t>
    </rPh>
    <rPh sb="26" eb="27">
      <t>カン</t>
    </rPh>
    <rPh sb="27" eb="29">
      <t>コウケイ</t>
    </rPh>
    <rPh sb="35" eb="37">
      <t>バアイ</t>
    </rPh>
    <rPh sb="38" eb="40">
      <t>リョウキン</t>
    </rPh>
    <rPh sb="40" eb="42">
      <t>サンテイ</t>
    </rPh>
    <rPh sb="43" eb="45">
      <t>キソ</t>
    </rPh>
    <rPh sb="48" eb="51">
      <t>シヨウリョウ</t>
    </rPh>
    <rPh sb="53" eb="55">
      <t>カクト</t>
    </rPh>
    <rPh sb="55" eb="57">
      <t>キントウ</t>
    </rPh>
    <rPh sb="58" eb="60">
      <t>シヨウ</t>
    </rPh>
    <phoneticPr fontId="2"/>
  </si>
  <si>
    <t>上水道料金表</t>
    <rPh sb="0" eb="3">
      <t>ジョウスイドウ</t>
    </rPh>
    <rPh sb="3" eb="5">
      <t>リョウキン</t>
    </rPh>
    <rPh sb="5" eb="6">
      <t>ヒョウ</t>
    </rPh>
    <phoneticPr fontId="2"/>
  </si>
  <si>
    <t>上記金額は、税抜きです・消費税をかけ、端数については、切捨てる。</t>
    <rPh sb="0" eb="2">
      <t>ジョウキ</t>
    </rPh>
    <rPh sb="2" eb="4">
      <t>キンガク</t>
    </rPh>
    <rPh sb="6" eb="8">
      <t>ゼイヌキ</t>
    </rPh>
    <rPh sb="12" eb="15">
      <t>ショウヒゼイ</t>
    </rPh>
    <rPh sb="19" eb="21">
      <t>ハスウ</t>
    </rPh>
    <rPh sb="27" eb="28">
      <t>キ</t>
    </rPh>
    <rPh sb="28" eb="29">
      <t>ス</t>
    </rPh>
    <phoneticPr fontId="2"/>
  </si>
  <si>
    <t>基本料金</t>
    <rPh sb="0" eb="2">
      <t>キホン</t>
    </rPh>
    <rPh sb="2" eb="4">
      <t>リョウキン</t>
    </rPh>
    <phoneticPr fontId="2"/>
  </si>
  <si>
    <t>水量</t>
    <rPh sb="0" eb="2">
      <t>スイリョウ</t>
    </rPh>
    <phoneticPr fontId="2"/>
  </si>
  <si>
    <t>料金</t>
    <rPh sb="0" eb="2">
      <t>リョウキン</t>
    </rPh>
    <phoneticPr fontId="2"/>
  </si>
  <si>
    <t>下水道料金表</t>
    <rPh sb="0" eb="3">
      <t>ゲスイドウ</t>
    </rPh>
    <rPh sb="3" eb="5">
      <t>リョウキン</t>
    </rPh>
    <rPh sb="5" eb="6">
      <t>ヒョウ</t>
    </rPh>
    <phoneticPr fontId="2"/>
  </si>
  <si>
    <t>※連合の新規の申請の場合は、工務係</t>
    <rPh sb="1" eb="3">
      <t>レンゴウ</t>
    </rPh>
    <rPh sb="4" eb="6">
      <t>シンキ</t>
    </rPh>
    <rPh sb="7" eb="9">
      <t>シンセイ</t>
    </rPh>
    <rPh sb="10" eb="12">
      <t>バアイ</t>
    </rPh>
    <rPh sb="14" eb="16">
      <t>コウム</t>
    </rPh>
    <rPh sb="16" eb="17">
      <t>カカ</t>
    </rPh>
    <phoneticPr fontId="2"/>
  </si>
  <si>
    <t>③各部屋の世帯数は？</t>
    <rPh sb="1" eb="4">
      <t>カクヘヤ</t>
    </rPh>
    <rPh sb="5" eb="8">
      <t>セタイスウ</t>
    </rPh>
    <phoneticPr fontId="2"/>
  </si>
  <si>
    <t>④前月の水道使用量は？</t>
    <rPh sb="1" eb="2">
      <t>ゼン</t>
    </rPh>
    <rPh sb="2" eb="3">
      <t>ツキ</t>
    </rPh>
    <rPh sb="4" eb="6">
      <t>スイドウ</t>
    </rPh>
    <rPh sb="6" eb="9">
      <t>シヨウリョウ</t>
    </rPh>
    <phoneticPr fontId="2"/>
  </si>
  <si>
    <t>⑤下水道は入っていますか？</t>
    <rPh sb="1" eb="4">
      <t>ゲスイドウ</t>
    </rPh>
    <rPh sb="5" eb="6">
      <t>ハイ</t>
    </rPh>
    <phoneticPr fontId="2"/>
  </si>
  <si>
    <t>はいの場合・・・・・・1</t>
    <rPh sb="3" eb="5">
      <t>バアイ</t>
    </rPh>
    <phoneticPr fontId="2"/>
  </si>
  <si>
    <t>いいえの場合・・・・・・2</t>
    <rPh sb="4" eb="6">
      <t>バアイ</t>
    </rPh>
    <phoneticPr fontId="2"/>
  </si>
  <si>
    <t>①現在の水道料金算定の メーター口径は？</t>
    <rPh sb="1" eb="3">
      <t>ゲンザイ</t>
    </rPh>
    <rPh sb="4" eb="6">
      <t>スイドウ</t>
    </rPh>
    <rPh sb="6" eb="8">
      <t>リョウキン</t>
    </rPh>
    <rPh sb="8" eb="10">
      <t>サンテイ</t>
    </rPh>
    <rPh sb="16" eb="18">
      <t>コウケイ</t>
    </rPh>
    <phoneticPr fontId="2"/>
  </si>
  <si>
    <t>②各部屋についている子メーター　 又は引込管の口径は？</t>
    <rPh sb="1" eb="4">
      <t>カクヘヤ</t>
    </rPh>
    <rPh sb="10" eb="11">
      <t>コ</t>
    </rPh>
    <rPh sb="17" eb="18">
      <t>マタ</t>
    </rPh>
    <rPh sb="19" eb="20">
      <t>ヒ</t>
    </rPh>
    <rPh sb="20" eb="21">
      <t>コ</t>
    </rPh>
    <rPh sb="21" eb="22">
      <t>カン</t>
    </rPh>
    <rPh sb="23" eb="25">
      <t>コウケイ</t>
    </rPh>
    <phoneticPr fontId="2"/>
  </si>
  <si>
    <t>㎜</t>
    <phoneticPr fontId="2"/>
  </si>
  <si>
    <t>部屋</t>
    <rPh sb="0" eb="2">
      <t>ヘヤ</t>
    </rPh>
    <phoneticPr fontId="2"/>
  </si>
  <si>
    <t>㎥</t>
    <phoneticPr fontId="2"/>
  </si>
  <si>
    <t>シュミレーションの結果</t>
    <rPh sb="9" eb="11">
      <t>ケッカ</t>
    </rPh>
    <phoneticPr fontId="2"/>
  </si>
  <si>
    <t>連合専用水道料金</t>
    <rPh sb="0" eb="2">
      <t>レンゴウ</t>
    </rPh>
    <rPh sb="2" eb="4">
      <t>センヨウ</t>
    </rPh>
    <rPh sb="4" eb="6">
      <t>スイドウ</t>
    </rPh>
    <rPh sb="6" eb="8">
      <t>リョウキン</t>
    </rPh>
    <phoneticPr fontId="2"/>
  </si>
  <si>
    <t>差　　　額</t>
    <rPh sb="0" eb="1">
      <t>サ</t>
    </rPh>
    <rPh sb="4" eb="5">
      <t>ガク</t>
    </rPh>
    <phoneticPr fontId="2"/>
  </si>
  <si>
    <r>
      <t>①～⑤の</t>
    </r>
    <r>
      <rPr>
        <b/>
        <sz val="18"/>
        <color theme="1"/>
        <rFont val="ＭＳ Ｐゴシック"/>
        <family val="3"/>
        <charset val="128"/>
        <scheme val="minor"/>
      </rPr>
      <t>□</t>
    </r>
    <r>
      <rPr>
        <b/>
        <sz val="11"/>
        <color theme="1"/>
        <rFont val="ＭＳ Ｐゴシック"/>
        <family val="3"/>
        <charset val="128"/>
        <scheme val="minor"/>
      </rPr>
      <t>に入力してください。</t>
    </r>
    <rPh sb="6" eb="8">
      <t>ニュウリョク</t>
    </rPh>
    <phoneticPr fontId="2"/>
  </si>
  <si>
    <t>上水道料金</t>
    <rPh sb="0" eb="3">
      <t>ジョウスイドウ</t>
    </rPh>
    <rPh sb="3" eb="5">
      <t>リョウキン</t>
    </rPh>
    <phoneticPr fontId="2"/>
  </si>
  <si>
    <t>下水道料金</t>
    <rPh sb="0" eb="3">
      <t>ゲスイドウ</t>
    </rPh>
    <rPh sb="3" eb="5">
      <t>リョウキン</t>
    </rPh>
    <phoneticPr fontId="2"/>
  </si>
  <si>
    <t>合　　　　計</t>
    <rPh sb="0" eb="1">
      <t>ア</t>
    </rPh>
    <rPh sb="5" eb="6">
      <t>ケイ</t>
    </rPh>
    <phoneticPr fontId="2"/>
  </si>
  <si>
    <t>上水道連合計算表</t>
    <rPh sb="0" eb="3">
      <t>ジョウスイドウ</t>
    </rPh>
    <rPh sb="3" eb="5">
      <t>レンゴウ</t>
    </rPh>
    <rPh sb="5" eb="7">
      <t>ケイサン</t>
    </rPh>
    <rPh sb="7" eb="8">
      <t>ヒョウ</t>
    </rPh>
    <phoneticPr fontId="2"/>
  </si>
  <si>
    <t>口径</t>
    <rPh sb="0" eb="2">
      <t>コウケイ</t>
    </rPh>
    <phoneticPr fontId="2"/>
  </si>
  <si>
    <t>世帯数</t>
    <rPh sb="0" eb="3">
      <t>セタイスウ</t>
    </rPh>
    <phoneticPr fontId="2"/>
  </si>
  <si>
    <t>前月使用水量</t>
    <rPh sb="0" eb="1">
      <t>ゼン</t>
    </rPh>
    <rPh sb="1" eb="2">
      <t>ツキ</t>
    </rPh>
    <rPh sb="2" eb="4">
      <t>シヨウ</t>
    </rPh>
    <rPh sb="4" eb="6">
      <t>スイリョウ</t>
    </rPh>
    <phoneticPr fontId="2"/>
  </si>
  <si>
    <t>水道口径</t>
    <rPh sb="0" eb="2">
      <t>スイドウ</t>
    </rPh>
    <rPh sb="2" eb="4">
      <t>コウケイ</t>
    </rPh>
    <phoneticPr fontId="2"/>
  </si>
  <si>
    <t>75～100</t>
    <phoneticPr fontId="2"/>
  </si>
  <si>
    <t>部屋の口径</t>
    <rPh sb="0" eb="2">
      <t>ヘヤ</t>
    </rPh>
    <rPh sb="3" eb="5">
      <t>コウケイ</t>
    </rPh>
    <phoneticPr fontId="2"/>
  </si>
  <si>
    <t>×</t>
    <phoneticPr fontId="2"/>
  </si>
  <si>
    <t>＝</t>
    <phoneticPr fontId="2"/>
  </si>
  <si>
    <t>基本水量</t>
    <rPh sb="0" eb="2">
      <t>キホン</t>
    </rPh>
    <rPh sb="2" eb="4">
      <t>スイリョウ</t>
    </rPh>
    <phoneticPr fontId="2"/>
  </si>
  <si>
    <t>口径別</t>
    <rPh sb="0" eb="2">
      <t>コウケイ</t>
    </rPh>
    <rPh sb="2" eb="3">
      <t>ベツ</t>
    </rPh>
    <phoneticPr fontId="2"/>
  </si>
  <si>
    <t>8㎥を超え30㎥まで</t>
    <rPh sb="3" eb="4">
      <t>コ</t>
    </rPh>
    <phoneticPr fontId="2"/>
  </si>
  <si>
    <t>30㎥を超え50㎥まで</t>
    <rPh sb="4" eb="5">
      <t>コ</t>
    </rPh>
    <phoneticPr fontId="2"/>
  </si>
  <si>
    <t>50㎥を超え100㎥まで</t>
    <rPh sb="4" eb="5">
      <t>コ</t>
    </rPh>
    <phoneticPr fontId="2"/>
  </si>
  <si>
    <t>100㎥を超え400㎥まで</t>
    <rPh sb="5" eb="6">
      <t>コ</t>
    </rPh>
    <phoneticPr fontId="2"/>
  </si>
  <si>
    <t>400㎥を超えるもの</t>
    <rPh sb="5" eb="6">
      <t>コ</t>
    </rPh>
    <phoneticPr fontId="2"/>
  </si>
  <si>
    <t>単価</t>
    <rPh sb="0" eb="2">
      <t>タンカ</t>
    </rPh>
    <phoneticPr fontId="2"/>
  </si>
  <si>
    <t>0㎥を超え8㎥まで
口径30㎜以上に適用</t>
    <rPh sb="3" eb="4">
      <t>コ</t>
    </rPh>
    <rPh sb="10" eb="12">
      <t>コウケイ</t>
    </rPh>
    <rPh sb="15" eb="17">
      <t>イジョウ</t>
    </rPh>
    <rPh sb="18" eb="20">
      <t>テキヨウ</t>
    </rPh>
    <phoneticPr fontId="2"/>
  </si>
  <si>
    <t>MAX</t>
    <phoneticPr fontId="2"/>
  </si>
  <si>
    <t>合計使用水量</t>
    <rPh sb="0" eb="2">
      <t>ゴウケイ</t>
    </rPh>
    <rPh sb="2" eb="4">
      <t>シヨウ</t>
    </rPh>
    <rPh sb="4" eb="6">
      <t>スイリョウ</t>
    </rPh>
    <phoneticPr fontId="2"/>
  </si>
  <si>
    <t>使用料金合計＝</t>
    <rPh sb="0" eb="2">
      <t>シヨウ</t>
    </rPh>
    <rPh sb="2" eb="4">
      <t>リョウキン</t>
    </rPh>
    <rPh sb="4" eb="6">
      <t>ゴウケイ</t>
    </rPh>
    <phoneticPr fontId="2"/>
  </si>
  <si>
    <t>連合の計算について(上水道)</t>
    <rPh sb="0" eb="2">
      <t>レンゴウ</t>
    </rPh>
    <rPh sb="3" eb="5">
      <t>ケイサン</t>
    </rPh>
    <rPh sb="10" eb="13">
      <t>ジョウスイドウ</t>
    </rPh>
    <phoneticPr fontId="2"/>
  </si>
  <si>
    <t>通常の計算について(上水道)</t>
    <rPh sb="0" eb="2">
      <t>ツウジョウ</t>
    </rPh>
    <rPh sb="3" eb="5">
      <t>ケイサン</t>
    </rPh>
    <rPh sb="10" eb="13">
      <t>ジョウスイドウ</t>
    </rPh>
    <phoneticPr fontId="2"/>
  </si>
  <si>
    <t>連合の場合は、</t>
    <rPh sb="0" eb="2">
      <t>レンゴウ</t>
    </rPh>
    <rPh sb="3" eb="5">
      <t>バアイ</t>
    </rPh>
    <phoneticPr fontId="2"/>
  </si>
  <si>
    <t>よって</t>
    <phoneticPr fontId="2"/>
  </si>
  <si>
    <t>基本水量</t>
    <rPh sb="0" eb="2">
      <t>キホン</t>
    </rPh>
    <rPh sb="2" eb="4">
      <t>スイリョウ</t>
    </rPh>
    <phoneticPr fontId="2"/>
  </si>
  <si>
    <t>金額</t>
    <rPh sb="0" eb="2">
      <t>キンガク</t>
    </rPh>
    <phoneticPr fontId="2"/>
  </si>
  <si>
    <t>水量</t>
    <rPh sb="0" eb="2">
      <t>スイリョウ</t>
    </rPh>
    <phoneticPr fontId="2"/>
  </si>
  <si>
    <t>合計</t>
    <rPh sb="0" eb="2">
      <t>ゴウケイ</t>
    </rPh>
    <phoneticPr fontId="2"/>
  </si>
  <si>
    <t>端数は、切り捨てる。よって</t>
    <rPh sb="0" eb="2">
      <t>ハスウ</t>
    </rPh>
    <rPh sb="4" eb="5">
      <t>キ</t>
    </rPh>
    <rPh sb="6" eb="7">
      <t>ス</t>
    </rPh>
    <phoneticPr fontId="2"/>
  </si>
  <si>
    <t>となります。</t>
    <phoneticPr fontId="2"/>
  </si>
  <si>
    <t>基本料金・水量は</t>
    <rPh sb="0" eb="2">
      <t>キホン</t>
    </rPh>
    <rPh sb="2" eb="4">
      <t>リョウキン</t>
    </rPh>
    <rPh sb="5" eb="7">
      <t>スイリョウ</t>
    </rPh>
    <phoneticPr fontId="2"/>
  </si>
  <si>
    <t>○基本水量は、8㎥まで</t>
    <rPh sb="1" eb="3">
      <t>キホン</t>
    </rPh>
    <rPh sb="3" eb="5">
      <t>スイリョウ</t>
    </rPh>
    <phoneticPr fontId="2"/>
  </si>
  <si>
    <t>金　　額</t>
    <rPh sb="0" eb="1">
      <t>キン</t>
    </rPh>
    <rPh sb="3" eb="4">
      <t>ガク</t>
    </rPh>
    <phoneticPr fontId="2"/>
  </si>
  <si>
    <t>水　　量</t>
    <rPh sb="0" eb="1">
      <t>ミズ</t>
    </rPh>
    <rPh sb="3" eb="4">
      <t>リョウ</t>
    </rPh>
    <phoneticPr fontId="2"/>
  </si>
  <si>
    <t>重量料金</t>
    <rPh sb="0" eb="2">
      <t>ジュウリョウ</t>
    </rPh>
    <rPh sb="2" eb="4">
      <t>リョウキン</t>
    </rPh>
    <phoneticPr fontId="2"/>
  </si>
  <si>
    <t>合　計</t>
    <rPh sb="0" eb="1">
      <t>ア</t>
    </rPh>
    <rPh sb="2" eb="3">
      <t>ケイ</t>
    </rPh>
    <phoneticPr fontId="2"/>
  </si>
  <si>
    <t>端数は切り捨てる。よって</t>
    <rPh sb="0" eb="2">
      <t>ハスウ</t>
    </rPh>
    <rPh sb="3" eb="4">
      <t>キ</t>
    </rPh>
    <rPh sb="5" eb="6">
      <t>ス</t>
    </rPh>
    <phoneticPr fontId="2"/>
  </si>
  <si>
    <t>となります。</t>
    <phoneticPr fontId="2"/>
  </si>
  <si>
    <t>通常の水道料金計算表</t>
    <rPh sb="0" eb="2">
      <t>ツウジョウ</t>
    </rPh>
    <rPh sb="3" eb="5">
      <t>スイドウ</t>
    </rPh>
    <rPh sb="5" eb="7">
      <t>リョウキン</t>
    </rPh>
    <rPh sb="7" eb="10">
      <t>ケイサンヒョウ</t>
    </rPh>
    <phoneticPr fontId="2"/>
  </si>
  <si>
    <t>下水道連合専用料金計算書</t>
    <rPh sb="0" eb="3">
      <t>ゲスイドウ</t>
    </rPh>
    <rPh sb="3" eb="5">
      <t>レンゴウ</t>
    </rPh>
    <rPh sb="5" eb="7">
      <t>センヨウ</t>
    </rPh>
    <rPh sb="7" eb="9">
      <t>リョウキン</t>
    </rPh>
    <rPh sb="9" eb="12">
      <t>ケイサンショ</t>
    </rPh>
    <phoneticPr fontId="2"/>
  </si>
  <si>
    <t>世帯数</t>
    <rPh sb="0" eb="3">
      <t>セタイスウ</t>
    </rPh>
    <phoneticPr fontId="2"/>
  </si>
  <si>
    <t>前月使用水量</t>
    <rPh sb="0" eb="1">
      <t>ゼン</t>
    </rPh>
    <rPh sb="1" eb="2">
      <t>ツキ</t>
    </rPh>
    <rPh sb="2" eb="4">
      <t>シヨウ</t>
    </rPh>
    <rPh sb="4" eb="6">
      <t>スイリョウ</t>
    </rPh>
    <phoneticPr fontId="2"/>
  </si>
  <si>
    <t>単価</t>
    <rPh sb="0" eb="2">
      <t>タンカ</t>
    </rPh>
    <phoneticPr fontId="2"/>
  </si>
  <si>
    <t>使用料金</t>
    <rPh sb="0" eb="2">
      <t>シヨウ</t>
    </rPh>
    <rPh sb="2" eb="4">
      <t>リョウキン</t>
    </rPh>
    <phoneticPr fontId="2"/>
  </si>
  <si>
    <t>備　　考</t>
    <rPh sb="0" eb="1">
      <t>ソナエ</t>
    </rPh>
    <rPh sb="3" eb="4">
      <t>コウ</t>
    </rPh>
    <phoneticPr fontId="2"/>
  </si>
  <si>
    <t>連合の場合の基本使用水量</t>
    <rPh sb="0" eb="2">
      <t>レンゴウ</t>
    </rPh>
    <rPh sb="3" eb="5">
      <t>バアイ</t>
    </rPh>
    <rPh sb="6" eb="8">
      <t>キホン</t>
    </rPh>
    <rPh sb="8" eb="10">
      <t>シヨウ</t>
    </rPh>
    <rPh sb="10" eb="12">
      <t>スイリョウ</t>
    </rPh>
    <phoneticPr fontId="2"/>
  </si>
  <si>
    <t>連合の場合の基本水量</t>
    <rPh sb="0" eb="2">
      <t>レンゴウ</t>
    </rPh>
    <rPh sb="3" eb="5">
      <t>バアイ</t>
    </rPh>
    <rPh sb="6" eb="8">
      <t>キホン</t>
    </rPh>
    <rPh sb="8" eb="10">
      <t>スイリョウ</t>
    </rPh>
    <phoneticPr fontId="2"/>
  </si>
  <si>
    <t>×</t>
    <phoneticPr fontId="2"/>
  </si>
  <si>
    <t>＝</t>
    <phoneticPr fontId="2"/>
  </si>
  <si>
    <t>下水道通常の料金計算書</t>
    <rPh sb="0" eb="3">
      <t>ゲスイドウ</t>
    </rPh>
    <rPh sb="3" eb="5">
      <t>ツウジョウ</t>
    </rPh>
    <rPh sb="6" eb="8">
      <t>リョウキン</t>
    </rPh>
    <rPh sb="8" eb="11">
      <t>ケイサンショ</t>
    </rPh>
    <phoneticPr fontId="2"/>
  </si>
  <si>
    <t>1㎥
につき</t>
    <phoneticPr fontId="2"/>
  </si>
  <si>
    <t>下水道の有無</t>
    <rPh sb="0" eb="3">
      <t>ゲスイドウ</t>
    </rPh>
    <rPh sb="4" eb="6">
      <t>ユウム</t>
    </rPh>
    <phoneticPr fontId="2"/>
  </si>
  <si>
    <t>現在の水道料金</t>
    <rPh sb="0" eb="2">
      <t>ゲンザイ</t>
    </rPh>
    <rPh sb="3" eb="5">
      <t>ゲスイドウ</t>
    </rPh>
    <rPh sb="5" eb="7">
      <t>リョウキン</t>
    </rPh>
    <phoneticPr fontId="2"/>
  </si>
  <si>
    <t>⑥消費税込み料金を表示しますか？</t>
    <rPh sb="1" eb="4">
      <t>ショウヒゼイ</t>
    </rPh>
    <rPh sb="4" eb="5">
      <t>コ</t>
    </rPh>
    <rPh sb="6" eb="8">
      <t>リョウキン</t>
    </rPh>
    <rPh sb="9" eb="11">
      <t>ヒョウジ</t>
    </rPh>
    <phoneticPr fontId="2"/>
  </si>
  <si>
    <t>超過水量</t>
    <rPh sb="0" eb="2">
      <t>チョウカ</t>
    </rPh>
    <rPh sb="2" eb="4">
      <t>スイリョウ</t>
    </rPh>
    <phoneticPr fontId="2"/>
  </si>
  <si>
    <t>単価</t>
    <rPh sb="0" eb="2">
      <t>タンカ</t>
    </rPh>
    <phoneticPr fontId="2"/>
  </si>
  <si>
    <t>※0㎥を越え８㎥までの水量表示がある場合は合計使用水量の中に含まれています。</t>
    <rPh sb="4" eb="5">
      <t>コ</t>
    </rPh>
    <rPh sb="11" eb="13">
      <t>スイリョウ</t>
    </rPh>
    <rPh sb="13" eb="15">
      <t>ヒョウジ</t>
    </rPh>
    <rPh sb="18" eb="20">
      <t>バアイ</t>
    </rPh>
    <rPh sb="21" eb="23">
      <t>ゴウケイ</t>
    </rPh>
    <rPh sb="23" eb="25">
      <t>シヨウ</t>
    </rPh>
    <rPh sb="25" eb="27">
      <t>スイリョウ</t>
    </rPh>
    <rPh sb="28" eb="29">
      <t>ナカ</t>
    </rPh>
    <rPh sb="30" eb="31">
      <t>フク</t>
    </rPh>
    <phoneticPr fontId="2"/>
  </si>
  <si>
    <t>連合専用条件入力画面</t>
    <rPh sb="0" eb="2">
      <t>レンゴウ</t>
    </rPh>
    <rPh sb="2" eb="4">
      <t>センヨウ</t>
    </rPh>
    <rPh sb="4" eb="6">
      <t>ジョウケン</t>
    </rPh>
    <rPh sb="6" eb="8">
      <t>ニュウリョク</t>
    </rPh>
    <rPh sb="8" eb="10">
      <t>ガメン</t>
    </rPh>
    <phoneticPr fontId="2"/>
  </si>
  <si>
    <t xml:space="preserve">現在の水道料金内訳(消費税抜き) </t>
    <rPh sb="0" eb="2">
      <t>ゲンザイ</t>
    </rPh>
    <rPh sb="3" eb="5">
      <t>スイドウ</t>
    </rPh>
    <rPh sb="5" eb="7">
      <t>リョウキン</t>
    </rPh>
    <rPh sb="7" eb="9">
      <t>ウチワケ</t>
    </rPh>
    <rPh sb="10" eb="12">
      <t>ショウヒ</t>
    </rPh>
    <rPh sb="12" eb="13">
      <t>ゼイ</t>
    </rPh>
    <rPh sb="13" eb="14">
      <t>ヌ</t>
    </rPh>
    <phoneticPr fontId="2"/>
  </si>
  <si>
    <t>下水道連合計算表</t>
    <rPh sb="0" eb="3">
      <t>ゲスイドウ</t>
    </rPh>
    <rPh sb="3" eb="5">
      <t>レンゴウ</t>
    </rPh>
    <rPh sb="5" eb="7">
      <t>ケイサン</t>
    </rPh>
    <rPh sb="7" eb="8">
      <t>ヒョウ</t>
    </rPh>
    <phoneticPr fontId="2"/>
  </si>
  <si>
    <t>連合の計算について(下水道)</t>
    <rPh sb="0" eb="2">
      <t>レンゴウ</t>
    </rPh>
    <rPh sb="3" eb="5">
      <t>ケイサン</t>
    </rPh>
    <rPh sb="10" eb="13">
      <t>ゲスイドウ</t>
    </rPh>
    <phoneticPr fontId="2"/>
  </si>
  <si>
    <t>通常の計算について(下水道)</t>
    <rPh sb="0" eb="2">
      <t>ツウジョウ</t>
    </rPh>
    <rPh sb="3" eb="5">
      <t>ケイサン</t>
    </rPh>
    <rPh sb="10" eb="13">
      <t>ゲスイドウ</t>
    </rPh>
    <phoneticPr fontId="2"/>
  </si>
  <si>
    <t>○基本水量は、10㎥まで</t>
    <rPh sb="1" eb="3">
      <t>キホン</t>
    </rPh>
    <rPh sb="3" eb="5">
      <t>スイリョウ</t>
    </rPh>
    <phoneticPr fontId="2"/>
  </si>
  <si>
    <t>を超え</t>
    <rPh sb="1" eb="2">
      <t>コ</t>
    </rPh>
    <phoneticPr fontId="2"/>
  </si>
  <si>
    <t>50㎥を超え150㎥まで</t>
  </si>
  <si>
    <t>150㎥を超え250㎥まで</t>
  </si>
  <si>
    <t>250㎥を超え500㎥まで</t>
  </si>
  <si>
    <t>250㎥を超え2000㎥まで</t>
  </si>
  <si>
    <t>75㎜～
１00㎜含む</t>
    <rPh sb="9" eb="10">
      <t>フク</t>
    </rPh>
    <phoneticPr fontId="2"/>
  </si>
  <si>
    <t>75～100</t>
    <phoneticPr fontId="2"/>
  </si>
  <si>
    <t>単位</t>
    <rPh sb="0" eb="2">
      <t>タンイ</t>
    </rPh>
    <phoneticPr fontId="2"/>
  </si>
  <si>
    <t>㎜</t>
    <phoneticPr fontId="2"/>
  </si>
  <si>
    <t>連合専用水道料金の内訳（消費税抜き）</t>
    <rPh sb="0" eb="2">
      <t>レンゴウ</t>
    </rPh>
    <rPh sb="2" eb="4">
      <t>センヨウ</t>
    </rPh>
    <rPh sb="4" eb="6">
      <t>スイドウ</t>
    </rPh>
    <rPh sb="6" eb="8">
      <t>リョウキン</t>
    </rPh>
    <rPh sb="9" eb="11">
      <t>ウチワケ</t>
    </rPh>
    <rPh sb="12" eb="15">
      <t>ショウヒゼイ</t>
    </rPh>
    <rPh sb="15" eb="16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</si>
</sst>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&quot;㎜&quot;"/>
    <numFmt numFmtId="177" formatCode="#,##0&quot;円&quot;"/>
    <numFmt numFmtId="178" formatCode="0&quot;㎥&quot;"/>
    <numFmt numFmtId="179" formatCode="#,##0&quot;世帯&quot;"/>
    <numFmt numFmtId="180" formatCode="0&quot;㎥以上&quot;"/>
    <numFmt numFmtId="181" formatCode="#,##0&quot;㎥&quot;"/>
    <numFmt numFmtId="182" formatCode="#,##0&quot;㎥まで&quot;"/>
    <numFmt numFmtId="183" formatCode="&quot;水量&quot;#,##0&quot;㎥&quot;"/>
    <numFmt numFmtId="184" formatCode="0&quot;㎥&quot;&quot;ま&quot;&quot;で&quot;&quot;&quot;"/>
    <numFmt numFmtId="185" formatCode="0&quot;㎥をこえるもの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4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5" borderId="5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7" fillId="4" borderId="8" xfId="0" applyFont="1" applyFill="1" applyBorder="1">
      <alignment vertical="center"/>
    </xf>
    <xf numFmtId="0" fontId="7" fillId="0" borderId="0" xfId="0" applyFont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30" xfId="0" applyFont="1" applyFill="1" applyBorder="1">
      <alignment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>
      <alignment vertical="center"/>
    </xf>
    <xf numFmtId="177" fontId="7" fillId="4" borderId="30" xfId="0" applyNumberFormat="1" applyFont="1" applyFill="1" applyBorder="1">
      <alignment vertical="center"/>
    </xf>
    <xf numFmtId="183" fontId="7" fillId="4" borderId="34" xfId="0" applyNumberFormat="1" applyFont="1" applyFill="1" applyBorder="1" applyAlignment="1">
      <alignment horizontal="right" vertical="center" indent="1"/>
    </xf>
    <xf numFmtId="183" fontId="7" fillId="4" borderId="35" xfId="0" applyNumberFormat="1" applyFont="1" applyFill="1" applyBorder="1" applyAlignment="1">
      <alignment horizontal="right" vertical="center" indent="1"/>
    </xf>
    <xf numFmtId="0" fontId="7" fillId="2" borderId="30" xfId="0" applyFont="1" applyFill="1" applyBorder="1" applyAlignment="1">
      <alignment vertical="center"/>
    </xf>
    <xf numFmtId="0" fontId="7" fillId="2" borderId="30" xfId="0" applyFont="1" applyFill="1" applyBorder="1">
      <alignment vertical="center"/>
    </xf>
    <xf numFmtId="0" fontId="8" fillId="2" borderId="30" xfId="0" applyFont="1" applyFill="1" applyBorder="1">
      <alignment vertical="center"/>
    </xf>
    <xf numFmtId="177" fontId="7" fillId="4" borderId="0" xfId="0" applyNumberFormat="1" applyFont="1" applyFill="1" applyBorder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>
      <alignment vertical="center"/>
    </xf>
    <xf numFmtId="0" fontId="7" fillId="2" borderId="45" xfId="0" applyFont="1" applyFill="1" applyBorder="1">
      <alignment vertical="center"/>
    </xf>
    <xf numFmtId="0" fontId="7" fillId="2" borderId="46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177" fontId="7" fillId="2" borderId="30" xfId="1" applyNumberFormat="1" applyFont="1" applyFill="1" applyBorder="1">
      <alignment vertical="center"/>
    </xf>
    <xf numFmtId="181" fontId="7" fillId="2" borderId="31" xfId="0" applyNumberFormat="1" applyFont="1" applyFill="1" applyBorder="1">
      <alignment vertical="center"/>
    </xf>
    <xf numFmtId="0" fontId="7" fillId="2" borderId="28" xfId="0" applyFont="1" applyFill="1" applyBorder="1">
      <alignment vertical="center"/>
    </xf>
    <xf numFmtId="177" fontId="7" fillId="2" borderId="28" xfId="0" applyNumberFormat="1" applyFont="1" applyFill="1" applyBorder="1">
      <alignment vertical="center"/>
    </xf>
    <xf numFmtId="181" fontId="7" fillId="2" borderId="27" xfId="0" applyNumberFormat="1" applyFont="1" applyFill="1" applyBorder="1">
      <alignment vertical="center"/>
    </xf>
    <xf numFmtId="177" fontId="7" fillId="2" borderId="0" xfId="0" applyNumberFormat="1" applyFont="1" applyFill="1">
      <alignment vertical="center"/>
    </xf>
    <xf numFmtId="0" fontId="7" fillId="4" borderId="35" xfId="0" applyFont="1" applyFill="1" applyBorder="1" applyAlignment="1">
      <alignment horizontal="right" vertical="center" indent="1"/>
    </xf>
    <xf numFmtId="181" fontId="7" fillId="4" borderId="35" xfId="0" applyNumberFormat="1" applyFont="1" applyFill="1" applyBorder="1" applyAlignment="1">
      <alignment horizontal="right" vertical="center" indent="1"/>
    </xf>
    <xf numFmtId="177" fontId="7" fillId="2" borderId="0" xfId="0" applyNumberFormat="1" applyFont="1" applyFill="1" applyBorder="1">
      <alignment vertical="center"/>
    </xf>
    <xf numFmtId="181" fontId="7" fillId="2" borderId="32" xfId="0" applyNumberFormat="1" applyFont="1" applyFill="1" applyBorder="1">
      <alignment vertical="center"/>
    </xf>
    <xf numFmtId="177" fontId="11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11" fillId="4" borderId="0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2" borderId="44" xfId="0" applyFont="1" applyFill="1" applyBorder="1">
      <alignment vertical="center"/>
    </xf>
    <xf numFmtId="0" fontId="7" fillId="4" borderId="33" xfId="0" applyFont="1" applyFill="1" applyBorder="1">
      <alignment vertical="center"/>
    </xf>
    <xf numFmtId="177" fontId="7" fillId="4" borderId="33" xfId="0" applyNumberFormat="1" applyFont="1" applyFill="1" applyBorder="1">
      <alignment vertical="center"/>
    </xf>
    <xf numFmtId="0" fontId="7" fillId="4" borderId="47" xfId="0" applyFont="1" applyFill="1" applyBorder="1" applyAlignment="1">
      <alignment horizontal="right" vertical="center" indent="1"/>
    </xf>
    <xf numFmtId="177" fontId="7" fillId="4" borderId="46" xfId="0" applyNumberFormat="1" applyFont="1" applyFill="1" applyBorder="1">
      <alignment vertical="center"/>
    </xf>
    <xf numFmtId="177" fontId="7" fillId="2" borderId="46" xfId="0" applyNumberFormat="1" applyFont="1" applyFill="1" applyBorder="1">
      <alignment vertical="center"/>
    </xf>
    <xf numFmtId="0" fontId="7" fillId="4" borderId="0" xfId="0" applyFont="1" applyFill="1" applyBorder="1" applyAlignment="1">
      <alignment horizontal="left" vertical="center"/>
    </xf>
    <xf numFmtId="178" fontId="7" fillId="2" borderId="31" xfId="0" applyNumberFormat="1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0" xfId="0" applyFill="1" applyBorder="1">
      <alignment vertical="center"/>
    </xf>
    <xf numFmtId="0" fontId="4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177" fontId="6" fillId="3" borderId="0" xfId="0" applyNumberFormat="1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12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0" xfId="0" applyFill="1" applyBorder="1">
      <alignment vertical="center"/>
    </xf>
    <xf numFmtId="177" fontId="6" fillId="7" borderId="10" xfId="0" applyNumberFormat="1" applyFont="1" applyFill="1" applyBorder="1">
      <alignment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2" xfId="0" applyFill="1" applyBorder="1">
      <alignment vertical="center"/>
    </xf>
    <xf numFmtId="177" fontId="6" fillId="7" borderId="13" xfId="0" applyNumberFormat="1" applyFont="1" applyFill="1" applyBorder="1">
      <alignment vertical="center"/>
    </xf>
    <xf numFmtId="0" fontId="0" fillId="7" borderId="6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177" fontId="6" fillId="7" borderId="8" xfId="0" applyNumberFormat="1" applyFont="1" applyFill="1" applyBorder="1">
      <alignment vertical="center"/>
    </xf>
    <xf numFmtId="0" fontId="0" fillId="7" borderId="11" xfId="0" applyFill="1" applyBorder="1">
      <alignment vertical="center"/>
    </xf>
    <xf numFmtId="0" fontId="0" fillId="7" borderId="15" xfId="0" applyFill="1" applyBorder="1">
      <alignment vertical="center"/>
    </xf>
    <xf numFmtId="177" fontId="6" fillId="7" borderId="16" xfId="0" applyNumberFormat="1" applyFont="1" applyFill="1" applyBorder="1">
      <alignment vertical="center"/>
    </xf>
    <xf numFmtId="0" fontId="0" fillId="6" borderId="9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>
      <alignment vertical="center"/>
    </xf>
    <xf numFmtId="0" fontId="0" fillId="6" borderId="13" xfId="0" applyFill="1" applyBorder="1">
      <alignment vertical="center"/>
    </xf>
    <xf numFmtId="0" fontId="6" fillId="6" borderId="0" xfId="0" applyFont="1" applyFill="1" applyBorder="1">
      <alignment vertical="center"/>
    </xf>
    <xf numFmtId="0" fontId="0" fillId="6" borderId="0" xfId="0" applyFill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178" fontId="7" fillId="2" borderId="32" xfId="0" applyNumberFormat="1" applyFont="1" applyFill="1" applyBorder="1">
      <alignment vertical="center"/>
    </xf>
    <xf numFmtId="0" fontId="7" fillId="4" borderId="47" xfId="0" applyFont="1" applyFill="1" applyBorder="1">
      <alignment vertical="center"/>
    </xf>
    <xf numFmtId="183" fontId="7" fillId="4" borderId="34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distributed" vertical="distributed" indent="2"/>
    </xf>
    <xf numFmtId="0" fontId="4" fillId="6" borderId="0" xfId="0" applyFont="1" applyFill="1" applyBorder="1" applyAlignment="1">
      <alignment horizontal="left" vertical="center" inden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81" fontId="18" fillId="2" borderId="5" xfId="1" applyNumberFormat="1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177" fontId="16" fillId="0" borderId="0" xfId="1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8" fontId="20" fillId="0" borderId="0" xfId="0" applyNumberFormat="1" applyFont="1">
      <alignment vertical="center"/>
    </xf>
    <xf numFmtId="0" fontId="20" fillId="0" borderId="0" xfId="0" applyFont="1" applyAlignment="1">
      <alignment horizontal="center" vertical="center"/>
    </xf>
    <xf numFmtId="179" fontId="20" fillId="0" borderId="0" xfId="0" applyNumberFormat="1" applyFont="1">
      <alignment vertical="center"/>
    </xf>
    <xf numFmtId="177" fontId="20" fillId="0" borderId="0" xfId="1" applyNumberFormat="1" applyFont="1">
      <alignment vertical="center"/>
    </xf>
    <xf numFmtId="177" fontId="20" fillId="0" borderId="0" xfId="0" applyNumberFormat="1" applyFont="1">
      <alignment vertical="center"/>
    </xf>
    <xf numFmtId="177" fontId="16" fillId="0" borderId="0" xfId="0" applyNumberFormat="1" applyFont="1">
      <alignment vertical="center"/>
    </xf>
    <xf numFmtId="182" fontId="16" fillId="0" borderId="0" xfId="0" applyNumberFormat="1" applyFont="1">
      <alignment vertical="center"/>
    </xf>
    <xf numFmtId="178" fontId="16" fillId="0" borderId="0" xfId="0" applyNumberFormat="1" applyFont="1">
      <alignment vertical="center"/>
    </xf>
    <xf numFmtId="179" fontId="16" fillId="0" borderId="0" xfId="0" applyNumberFormat="1" applyFont="1">
      <alignment vertical="center"/>
    </xf>
    <xf numFmtId="181" fontId="16" fillId="0" borderId="0" xfId="0" applyNumberFormat="1" applyFont="1" applyAlignment="1">
      <alignment horizontal="center" vertical="center"/>
    </xf>
    <xf numFmtId="180" fontId="16" fillId="0" borderId="0" xfId="0" applyNumberFormat="1" applyFont="1">
      <alignment vertical="center"/>
    </xf>
    <xf numFmtId="0" fontId="16" fillId="2" borderId="19" xfId="0" applyFont="1" applyFill="1" applyBorder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0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16" fillId="2" borderId="36" xfId="0" applyFont="1" applyFill="1" applyBorder="1" applyAlignment="1">
      <alignment horizontal="right" vertical="center"/>
    </xf>
    <xf numFmtId="182" fontId="16" fillId="2" borderId="37" xfId="0" applyNumberFormat="1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center" vertical="center"/>
    </xf>
    <xf numFmtId="177" fontId="16" fillId="2" borderId="37" xfId="0" applyNumberFormat="1" applyFont="1" applyFill="1" applyBorder="1">
      <alignment vertical="center"/>
    </xf>
    <xf numFmtId="0" fontId="16" fillId="2" borderId="38" xfId="0" applyFont="1" applyFill="1" applyBorder="1">
      <alignment vertical="center"/>
    </xf>
    <xf numFmtId="0" fontId="16" fillId="2" borderId="39" xfId="0" applyFont="1" applyFill="1" applyBorder="1" applyAlignment="1">
      <alignment horizontal="right" vertical="center"/>
    </xf>
    <xf numFmtId="182" fontId="16" fillId="2" borderId="40" xfId="0" applyNumberFormat="1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177" fontId="16" fillId="2" borderId="40" xfId="0" applyNumberFormat="1" applyFont="1" applyFill="1" applyBorder="1" applyAlignment="1">
      <alignment horizontal="center" vertical="center"/>
    </xf>
    <xf numFmtId="177" fontId="16" fillId="2" borderId="40" xfId="0" applyNumberFormat="1" applyFont="1" applyFill="1" applyBorder="1">
      <alignment vertical="center"/>
    </xf>
    <xf numFmtId="0" fontId="16" fillId="2" borderId="41" xfId="0" applyFont="1" applyFill="1" applyBorder="1">
      <alignment vertical="center"/>
    </xf>
    <xf numFmtId="0" fontId="16" fillId="2" borderId="22" xfId="0" applyFont="1" applyFill="1" applyBorder="1" applyAlignment="1">
      <alignment horizontal="right" vertical="center"/>
    </xf>
    <xf numFmtId="181" fontId="16" fillId="2" borderId="1" xfId="0" applyNumberFormat="1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177" fontId="16" fillId="2" borderId="1" xfId="0" applyNumberFormat="1" applyFont="1" applyFill="1" applyBorder="1">
      <alignment vertical="center"/>
    </xf>
    <xf numFmtId="0" fontId="16" fillId="2" borderId="23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2" borderId="26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182" fontId="16" fillId="2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2" borderId="6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81" fontId="19" fillId="2" borderId="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81" fontId="16" fillId="2" borderId="0" xfId="0" applyNumberFormat="1" applyFont="1" applyFill="1" applyBorder="1">
      <alignment vertical="center"/>
    </xf>
    <xf numFmtId="179" fontId="16" fillId="2" borderId="0" xfId="0" applyNumberFormat="1" applyFont="1" applyFill="1" applyBorder="1">
      <alignment vertical="center"/>
    </xf>
    <xf numFmtId="0" fontId="16" fillId="2" borderId="22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4" borderId="6" xfId="0" applyFont="1" applyFill="1" applyBorder="1">
      <alignment vertical="center"/>
    </xf>
    <xf numFmtId="0" fontId="16" fillId="4" borderId="7" xfId="0" applyFont="1" applyFill="1" applyBorder="1">
      <alignment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181" fontId="19" fillId="4" borderId="5" xfId="0" applyNumberFormat="1" applyFont="1" applyFill="1" applyBorder="1" applyAlignment="1">
      <alignment horizontal="center" vertical="center"/>
    </xf>
    <xf numFmtId="0" fontId="16" fillId="4" borderId="22" xfId="0" applyFont="1" applyFill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>
      <alignment vertical="center"/>
    </xf>
    <xf numFmtId="0" fontId="16" fillId="4" borderId="36" xfId="0" applyFont="1" applyFill="1" applyBorder="1" applyAlignment="1">
      <alignment horizontal="right" vertical="center"/>
    </xf>
    <xf numFmtId="181" fontId="16" fillId="4" borderId="37" xfId="0" applyNumberFormat="1" applyFont="1" applyFill="1" applyBorder="1">
      <alignment vertical="center"/>
    </xf>
    <xf numFmtId="0" fontId="16" fillId="4" borderId="37" xfId="0" applyFont="1" applyFill="1" applyBorder="1" applyAlignment="1">
      <alignment horizontal="center" vertical="center"/>
    </xf>
    <xf numFmtId="177" fontId="16" fillId="4" borderId="37" xfId="0" applyNumberFormat="1" applyFont="1" applyFill="1" applyBorder="1">
      <alignment vertical="center"/>
    </xf>
    <xf numFmtId="0" fontId="16" fillId="4" borderId="37" xfId="0" applyFont="1" applyFill="1" applyBorder="1">
      <alignment vertical="center"/>
    </xf>
    <xf numFmtId="0" fontId="16" fillId="4" borderId="42" xfId="0" applyFont="1" applyFill="1" applyBorder="1">
      <alignment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3" xfId="0" applyFont="1" applyFill="1" applyBorder="1">
      <alignment vertical="center"/>
    </xf>
    <xf numFmtId="0" fontId="16" fillId="4" borderId="22" xfId="0" applyFont="1" applyFill="1" applyBorder="1" applyAlignment="1">
      <alignment horizontal="right" vertical="center"/>
    </xf>
    <xf numFmtId="181" fontId="16" fillId="4" borderId="1" xfId="0" applyNumberFormat="1" applyFont="1" applyFill="1" applyBorder="1">
      <alignment vertical="center"/>
    </xf>
    <xf numFmtId="177" fontId="16" fillId="4" borderId="1" xfId="0" applyNumberFormat="1" applyFont="1" applyFill="1" applyBorder="1">
      <alignment vertical="center"/>
    </xf>
    <xf numFmtId="0" fontId="16" fillId="4" borderId="11" xfId="0" applyFont="1" applyFill="1" applyBorder="1">
      <alignment vertical="center"/>
    </xf>
    <xf numFmtId="0" fontId="16" fillId="4" borderId="12" xfId="0" applyFont="1" applyFill="1" applyBorder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right" vertical="center"/>
    </xf>
    <xf numFmtId="178" fontId="16" fillId="2" borderId="2" xfId="0" applyNumberFormat="1" applyFont="1" applyFill="1" applyBorder="1" applyAlignment="1">
      <alignment horizontal="right" vertical="distributed"/>
    </xf>
    <xf numFmtId="0" fontId="16" fillId="2" borderId="3" xfId="0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right" wrapText="1"/>
    </xf>
    <xf numFmtId="0" fontId="23" fillId="4" borderId="1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38" fontId="16" fillId="0" borderId="0" xfId="1" applyFont="1" applyAlignment="1">
      <alignment horizontal="left" vertical="distributed"/>
    </xf>
    <xf numFmtId="38" fontId="16" fillId="0" borderId="0" xfId="1" applyFont="1" applyAlignment="1">
      <alignment horizontal="left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right" vertical="center" wrapText="1"/>
    </xf>
    <xf numFmtId="0" fontId="16" fillId="2" borderId="22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justify" vertical="top" wrapText="1"/>
    </xf>
    <xf numFmtId="0" fontId="16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177" fontId="16" fillId="4" borderId="1" xfId="0" applyNumberFormat="1" applyFont="1" applyFill="1" applyBorder="1" applyAlignment="1">
      <alignment horizontal="right" vertical="center" indent="1"/>
    </xf>
    <xf numFmtId="176" fontId="16" fillId="4" borderId="1" xfId="0" applyNumberFormat="1" applyFont="1" applyFill="1" applyBorder="1" applyAlignment="1">
      <alignment horizontal="left" vertical="center" inden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85" fontId="16" fillId="2" borderId="4" xfId="0" applyNumberFormat="1" applyFont="1" applyFill="1" applyBorder="1" applyAlignment="1">
      <alignment horizontal="left" vertical="center"/>
    </xf>
    <xf numFmtId="185" fontId="16" fillId="2" borderId="1" xfId="0" applyNumberFormat="1" applyFont="1" applyFill="1" applyBorder="1" applyAlignment="1">
      <alignment horizontal="left" vertical="center"/>
    </xf>
    <xf numFmtId="184" fontId="16" fillId="2" borderId="2" xfId="0" applyNumberFormat="1" applyFont="1" applyFill="1" applyBorder="1" applyAlignment="1">
      <alignment horizontal="left" vertical="center" indent="1"/>
    </xf>
    <xf numFmtId="184" fontId="16" fillId="2" borderId="3" xfId="0" applyNumberFormat="1" applyFont="1" applyFill="1" applyBorder="1" applyAlignment="1">
      <alignment horizontal="left" vertical="center" indent="1"/>
    </xf>
    <xf numFmtId="184" fontId="16" fillId="2" borderId="4" xfId="0" applyNumberFormat="1" applyFont="1" applyFill="1" applyBorder="1" applyAlignment="1">
      <alignment horizontal="left" vertical="center" indent="1"/>
    </xf>
    <xf numFmtId="182" fontId="16" fillId="2" borderId="3" xfId="0" applyNumberFormat="1" applyFont="1" applyFill="1" applyBorder="1" applyAlignment="1">
      <alignment horizontal="left" vertical="center"/>
    </xf>
    <xf numFmtId="182" fontId="16" fillId="2" borderId="4" xfId="0" applyNumberFormat="1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distributed" vertical="distributed" indent="1"/>
    </xf>
    <xf numFmtId="0" fontId="9" fillId="4" borderId="0" xfId="0" applyFont="1" applyFill="1" applyBorder="1" applyAlignment="1">
      <alignment horizontal="distributed" vertical="distributed" indent="1"/>
    </xf>
    <xf numFmtId="0" fontId="8" fillId="4" borderId="3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distributed"/>
    </xf>
    <xf numFmtId="0" fontId="7" fillId="2" borderId="28" xfId="0" applyFont="1" applyFill="1" applyBorder="1" applyAlignment="1">
      <alignment horizontal="left" vertical="distributed"/>
    </xf>
    <xf numFmtId="0" fontId="7" fillId="2" borderId="29" xfId="0" applyFont="1" applyFill="1" applyBorder="1" applyAlignment="1">
      <alignment horizontal="left" vertical="distributed"/>
    </xf>
    <xf numFmtId="0" fontId="7" fillId="2" borderId="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righ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distributed" vertical="distributed"/>
    </xf>
    <xf numFmtId="0" fontId="7" fillId="2" borderId="28" xfId="0" applyFont="1" applyFill="1" applyBorder="1" applyAlignment="1">
      <alignment horizontal="distributed" vertical="distributed"/>
    </xf>
    <xf numFmtId="0" fontId="7" fillId="2" borderId="29" xfId="0" applyFont="1" applyFill="1" applyBorder="1" applyAlignment="1">
      <alignment horizontal="distributed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8</xdr:row>
      <xdr:rowOff>19050</xdr:rowOff>
    </xdr:from>
    <xdr:to>
      <xdr:col>11</xdr:col>
      <xdr:colOff>400050</xdr:colOff>
      <xdr:row>11</xdr:row>
      <xdr:rowOff>8382</xdr:rowOff>
    </xdr:to>
    <xdr:sp macro="" textlink="">
      <xdr:nvSpPr>
        <xdr:cNvPr id="2" name="右矢印 1"/>
        <xdr:cNvSpPr/>
      </xdr:nvSpPr>
      <xdr:spPr>
        <a:xfrm>
          <a:off x="6096000" y="1695450"/>
          <a:ext cx="45720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16</xdr:row>
      <xdr:rowOff>95249</xdr:rowOff>
    </xdr:from>
    <xdr:to>
      <xdr:col>15</xdr:col>
      <xdr:colOff>180975</xdr:colOff>
      <xdr:row>18</xdr:row>
      <xdr:rowOff>180974</xdr:rowOff>
    </xdr:to>
    <xdr:sp macro="" textlink="">
      <xdr:nvSpPr>
        <xdr:cNvPr id="3" name="下矢印 2"/>
        <xdr:cNvSpPr/>
      </xdr:nvSpPr>
      <xdr:spPr>
        <a:xfrm rot="10800000">
          <a:off x="7762875" y="3381374"/>
          <a:ext cx="571500" cy="581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上水道料金計算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22</xdr:row>
          <xdr:rowOff>9525</xdr:rowOff>
        </xdr:from>
        <xdr:to>
          <xdr:col>4</xdr:col>
          <xdr:colOff>0</xdr:colOff>
          <xdr:row>23</xdr:row>
          <xdr:rowOff>9525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料     金     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水道連合専用との比較表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下水道連合専用との比較表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0</xdr:colOff>
          <xdr:row>3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</xdr:row>
          <xdr:rowOff>19050</xdr:rowOff>
        </xdr:from>
        <xdr:to>
          <xdr:col>10</xdr:col>
          <xdr:colOff>0</xdr:colOff>
          <xdr:row>2</xdr:row>
          <xdr:rowOff>19050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</xdr:row>
          <xdr:rowOff>0</xdr:rowOff>
        </xdr:from>
        <xdr:to>
          <xdr:col>10</xdr:col>
          <xdr:colOff>0</xdr:colOff>
          <xdr:row>2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Z38"/>
  <sheetViews>
    <sheetView tabSelected="1" workbookViewId="0">
      <selection activeCell="T14" sqref="T14"/>
    </sheetView>
  </sheetViews>
  <sheetFormatPr defaultRowHeight="20.100000000000001" customHeight="1" x14ac:dyDescent="0.15"/>
  <cols>
    <col min="1" max="2" width="4.375" customWidth="1"/>
    <col min="3" max="7" width="10.625" customWidth="1"/>
    <col min="8" max="8" width="8.5" customWidth="1"/>
    <col min="9" max="9" width="4.625" customWidth="1"/>
    <col min="10" max="10" width="3.25" customWidth="1"/>
    <col min="11" max="11" width="2.5" customWidth="1"/>
    <col min="12" max="12" width="6" customWidth="1"/>
    <col min="13" max="13" width="2.25" customWidth="1"/>
    <col min="16" max="16" width="3.625" customWidth="1"/>
    <col min="17" max="17" width="12" customWidth="1"/>
    <col min="18" max="18" width="2.625" customWidth="1"/>
    <col min="22" max="23" width="9" hidden="1" customWidth="1"/>
    <col min="24" max="24" width="11.125" hidden="1" customWidth="1"/>
    <col min="25" max="25" width="0" hidden="1" customWidth="1"/>
    <col min="26" max="26" width="13" hidden="1" customWidth="1"/>
  </cols>
  <sheetData>
    <row r="1" spans="1:19" ht="20.100000000000001" customHeight="1" thickBot="1" x14ac:dyDescent="0.2"/>
    <row r="2" spans="1:19" ht="20.25" customHeight="1" x14ac:dyDescent="0.15">
      <c r="A2" s="75"/>
      <c r="B2" s="76"/>
      <c r="C2" s="76"/>
      <c r="D2" s="76"/>
      <c r="E2" s="76"/>
      <c r="F2" s="232" t="s">
        <v>103</v>
      </c>
      <c r="G2" s="233"/>
      <c r="H2" s="233"/>
      <c r="I2" s="233"/>
      <c r="J2" s="233"/>
      <c r="K2" s="233"/>
      <c r="L2" s="233"/>
      <c r="M2" s="233"/>
      <c r="N2" s="234"/>
      <c r="O2" s="76"/>
      <c r="P2" s="76"/>
      <c r="Q2" s="76"/>
      <c r="R2" s="76"/>
      <c r="S2" s="77"/>
    </row>
    <row r="3" spans="1:19" ht="20.25" customHeight="1" thickBot="1" x14ac:dyDescent="0.2">
      <c r="A3" s="95"/>
      <c r="B3" s="78"/>
      <c r="C3" s="78"/>
      <c r="D3" s="78"/>
      <c r="E3" s="78"/>
      <c r="F3" s="235"/>
      <c r="G3" s="236"/>
      <c r="H3" s="236"/>
      <c r="I3" s="236"/>
      <c r="J3" s="236"/>
      <c r="K3" s="236"/>
      <c r="L3" s="236"/>
      <c r="M3" s="236"/>
      <c r="N3" s="237"/>
      <c r="O3" s="78"/>
      <c r="P3" s="78"/>
      <c r="Q3" s="78"/>
      <c r="R3" s="78"/>
      <c r="S3" s="96"/>
    </row>
    <row r="4" spans="1:19" ht="24" customHeight="1" thickBot="1" x14ac:dyDescent="0.2">
      <c r="A4" s="95"/>
      <c r="B4" s="78"/>
      <c r="C4" s="244" t="s">
        <v>41</v>
      </c>
      <c r="D4" s="244"/>
      <c r="E4" s="244"/>
      <c r="F4" s="244"/>
      <c r="G4" s="244"/>
      <c r="H4" s="244"/>
      <c r="I4" s="97"/>
      <c r="J4" s="78"/>
      <c r="K4" s="78"/>
      <c r="L4" s="78"/>
      <c r="M4" s="238"/>
      <c r="N4" s="238"/>
      <c r="O4" s="238"/>
      <c r="P4" s="238"/>
      <c r="Q4" s="238"/>
      <c r="R4" s="238"/>
      <c r="S4" s="96"/>
    </row>
    <row r="5" spans="1:19" ht="20.100000000000001" customHeight="1" thickBot="1" x14ac:dyDescent="0.2">
      <c r="A5" s="95"/>
      <c r="B5" s="60"/>
      <c r="C5" s="61"/>
      <c r="D5" s="61"/>
      <c r="E5" s="61"/>
      <c r="F5" s="61"/>
      <c r="G5" s="61"/>
      <c r="H5" s="61"/>
      <c r="I5" s="61"/>
      <c r="J5" s="62"/>
      <c r="K5" s="78"/>
      <c r="L5" s="78"/>
      <c r="M5" s="60"/>
      <c r="N5" s="241" t="str">
        <f>IF(H17=1,"消費税込みの料金",IF(H17=2,"消費税抜きの料金",""))</f>
        <v>消費税込みの料金</v>
      </c>
      <c r="O5" s="241"/>
      <c r="P5" s="241"/>
      <c r="Q5" s="241"/>
      <c r="R5" s="62"/>
      <c r="S5" s="96"/>
    </row>
    <row r="6" spans="1:19" ht="20.100000000000001" customHeight="1" thickBot="1" x14ac:dyDescent="0.2">
      <c r="A6" s="95"/>
      <c r="B6" s="63"/>
      <c r="C6" s="245" t="s">
        <v>33</v>
      </c>
      <c r="D6" s="245"/>
      <c r="E6" s="245"/>
      <c r="F6" s="245"/>
      <c r="G6" s="245"/>
      <c r="H6" s="2">
        <v>40</v>
      </c>
      <c r="I6" s="64" t="s">
        <v>35</v>
      </c>
      <c r="J6" s="65"/>
      <c r="K6" s="78"/>
      <c r="L6" s="78"/>
      <c r="M6" s="63"/>
      <c r="N6" s="223" t="s">
        <v>38</v>
      </c>
      <c r="O6" s="223"/>
      <c r="P6" s="223"/>
      <c r="Q6" s="223"/>
      <c r="R6" s="65"/>
      <c r="S6" s="96"/>
    </row>
    <row r="7" spans="1:19" ht="9.9499999999999993" customHeight="1" thickBot="1" x14ac:dyDescent="0.2">
      <c r="A7" s="95"/>
      <c r="B7" s="63"/>
      <c r="C7" s="66"/>
      <c r="D7" s="66"/>
      <c r="E7" s="66"/>
      <c r="F7" s="66"/>
      <c r="G7" s="66"/>
      <c r="H7" s="67"/>
      <c r="I7" s="64"/>
      <c r="J7" s="65"/>
      <c r="K7" s="78"/>
      <c r="L7" s="78"/>
      <c r="M7" s="63"/>
      <c r="N7" s="80"/>
      <c r="O7" s="81"/>
      <c r="P7" s="81"/>
      <c r="Q7" s="82"/>
      <c r="R7" s="65"/>
      <c r="S7" s="96"/>
    </row>
    <row r="8" spans="1:19" ht="20.100000000000001" customHeight="1" thickBot="1" x14ac:dyDescent="0.2">
      <c r="A8" s="95"/>
      <c r="B8" s="63"/>
      <c r="C8" s="245" t="s">
        <v>34</v>
      </c>
      <c r="D8" s="245"/>
      <c r="E8" s="245"/>
      <c r="F8" s="245"/>
      <c r="G8" s="245"/>
      <c r="H8" s="2">
        <v>30</v>
      </c>
      <c r="I8" s="64" t="s">
        <v>35</v>
      </c>
      <c r="J8" s="65"/>
      <c r="K8" s="78"/>
      <c r="L8" s="78"/>
      <c r="M8" s="63"/>
      <c r="N8" s="224" t="s">
        <v>98</v>
      </c>
      <c r="O8" s="225"/>
      <c r="P8" s="83"/>
      <c r="Q8" s="84">
        <f ca="1">IF(H17=1,ROUNDDOWN(Q23*1.08,0),IF(H17=2,Q23,""))</f>
        <v>132688</v>
      </c>
      <c r="R8" s="65"/>
      <c r="S8" s="96"/>
    </row>
    <row r="9" spans="1:19" ht="9.9499999999999993" customHeight="1" thickBot="1" x14ac:dyDescent="0.2">
      <c r="A9" s="95"/>
      <c r="B9" s="63"/>
      <c r="C9" s="66"/>
      <c r="D9" s="66"/>
      <c r="E9" s="66"/>
      <c r="F9" s="66"/>
      <c r="G9" s="66"/>
      <c r="H9" s="67"/>
      <c r="I9" s="64"/>
      <c r="J9" s="65"/>
      <c r="K9" s="78"/>
      <c r="L9" s="78"/>
      <c r="M9" s="63"/>
      <c r="N9" s="85"/>
      <c r="O9" s="86"/>
      <c r="P9" s="87"/>
      <c r="Q9" s="88"/>
      <c r="R9" s="65"/>
      <c r="S9" s="96"/>
    </row>
    <row r="10" spans="1:19" ht="20.100000000000001" customHeight="1" thickBot="1" x14ac:dyDescent="0.2">
      <c r="A10" s="95"/>
      <c r="B10" s="63"/>
      <c r="C10" s="230" t="s">
        <v>28</v>
      </c>
      <c r="D10" s="230"/>
      <c r="E10" s="230"/>
      <c r="F10" s="230"/>
      <c r="G10" s="230"/>
      <c r="H10" s="2">
        <v>10</v>
      </c>
      <c r="I10" s="64" t="s">
        <v>36</v>
      </c>
      <c r="J10" s="65"/>
      <c r="K10" s="78"/>
      <c r="L10" s="78"/>
      <c r="M10" s="63"/>
      <c r="N10" s="71"/>
      <c r="O10" s="242"/>
      <c r="P10" s="242"/>
      <c r="Q10" s="72"/>
      <c r="R10" s="65"/>
      <c r="S10" s="96"/>
    </row>
    <row r="11" spans="1:19" ht="9.9499999999999993" customHeight="1" thickBot="1" x14ac:dyDescent="0.2">
      <c r="A11" s="95"/>
      <c r="B11" s="63"/>
      <c r="C11" s="66"/>
      <c r="D11" s="66"/>
      <c r="E11" s="66"/>
      <c r="F11" s="66"/>
      <c r="G11" s="66"/>
      <c r="H11" s="67"/>
      <c r="I11" s="64"/>
      <c r="J11" s="65"/>
      <c r="K11" s="78"/>
      <c r="L11" s="78"/>
      <c r="M11" s="63"/>
      <c r="N11" s="89"/>
      <c r="O11" s="90"/>
      <c r="P11" s="81"/>
      <c r="Q11" s="91"/>
      <c r="R11" s="65"/>
      <c r="S11" s="96"/>
    </row>
    <row r="12" spans="1:19" ht="20.100000000000001" customHeight="1" thickBot="1" x14ac:dyDescent="0.2">
      <c r="A12" s="95"/>
      <c r="B12" s="63"/>
      <c r="C12" s="230" t="s">
        <v>29</v>
      </c>
      <c r="D12" s="230"/>
      <c r="E12" s="230"/>
      <c r="F12" s="230"/>
      <c r="G12" s="230"/>
      <c r="H12" s="2">
        <v>400</v>
      </c>
      <c r="I12" s="64" t="s">
        <v>37</v>
      </c>
      <c r="J12" s="65"/>
      <c r="K12" s="78"/>
      <c r="L12" s="78"/>
      <c r="M12" s="63"/>
      <c r="N12" s="226" t="s">
        <v>39</v>
      </c>
      <c r="O12" s="227"/>
      <c r="P12" s="83"/>
      <c r="Q12" s="84">
        <f ca="1">IF(H17=1,ROUNDDOWN(Q28*1.08,0),IF(H17=2,Q28,""))</f>
        <v>111780</v>
      </c>
      <c r="R12" s="65"/>
      <c r="S12" s="96"/>
    </row>
    <row r="13" spans="1:19" ht="9.9499999999999993" customHeight="1" thickBot="1" x14ac:dyDescent="0.2">
      <c r="A13" s="95"/>
      <c r="B13" s="63"/>
      <c r="C13" s="66"/>
      <c r="D13" s="66"/>
      <c r="E13" s="66"/>
      <c r="F13" s="66"/>
      <c r="G13" s="66"/>
      <c r="H13" s="67"/>
      <c r="I13" s="64"/>
      <c r="J13" s="65"/>
      <c r="K13" s="78"/>
      <c r="L13" s="78"/>
      <c r="M13" s="63"/>
      <c r="N13" s="92"/>
      <c r="O13" s="87"/>
      <c r="P13" s="87"/>
      <c r="Q13" s="88"/>
      <c r="R13" s="65"/>
      <c r="S13" s="96"/>
    </row>
    <row r="14" spans="1:19" ht="20.100000000000001" customHeight="1" thickBot="1" x14ac:dyDescent="0.2">
      <c r="A14" s="95"/>
      <c r="B14" s="63"/>
      <c r="C14" s="230" t="s">
        <v>30</v>
      </c>
      <c r="D14" s="230"/>
      <c r="E14" s="230"/>
      <c r="F14" s="230"/>
      <c r="G14" s="230"/>
      <c r="H14" s="2">
        <v>1</v>
      </c>
      <c r="I14" s="64"/>
      <c r="J14" s="65"/>
      <c r="K14" s="78"/>
      <c r="L14" s="78"/>
      <c r="M14" s="63"/>
      <c r="N14" s="64"/>
      <c r="O14" s="242"/>
      <c r="P14" s="242"/>
      <c r="Q14" s="72"/>
      <c r="R14" s="65"/>
      <c r="S14" s="96"/>
    </row>
    <row r="15" spans="1:19" ht="20.100000000000001" customHeight="1" thickBot="1" x14ac:dyDescent="0.2">
      <c r="A15" s="95"/>
      <c r="B15" s="63"/>
      <c r="C15" s="239" t="s">
        <v>31</v>
      </c>
      <c r="D15" s="239"/>
      <c r="E15" s="239"/>
      <c r="F15" s="66"/>
      <c r="G15" s="66"/>
      <c r="H15" s="64"/>
      <c r="I15" s="64"/>
      <c r="J15" s="65"/>
      <c r="K15" s="78"/>
      <c r="L15" s="78"/>
      <c r="M15" s="63"/>
      <c r="N15" s="228" t="s">
        <v>40</v>
      </c>
      <c r="O15" s="229"/>
      <c r="P15" s="93"/>
      <c r="Q15" s="94">
        <f ca="1">Q8-Q12</f>
        <v>20908</v>
      </c>
      <c r="R15" s="65"/>
      <c r="S15" s="96"/>
    </row>
    <row r="16" spans="1:19" ht="20.100000000000001" customHeight="1" thickBot="1" x14ac:dyDescent="0.2">
      <c r="A16" s="95"/>
      <c r="B16" s="63"/>
      <c r="C16" s="239" t="s">
        <v>32</v>
      </c>
      <c r="D16" s="239"/>
      <c r="E16" s="239"/>
      <c r="F16" s="66"/>
      <c r="G16" s="66"/>
      <c r="H16" s="64"/>
      <c r="I16" s="64"/>
      <c r="J16" s="65"/>
      <c r="K16" s="78"/>
      <c r="L16" s="78"/>
      <c r="M16" s="68"/>
      <c r="N16" s="69"/>
      <c r="O16" s="69"/>
      <c r="P16" s="69"/>
      <c r="Q16" s="73"/>
      <c r="R16" s="70"/>
      <c r="S16" s="96"/>
    </row>
    <row r="17" spans="1:26" ht="20.100000000000001" customHeight="1" thickBot="1" x14ac:dyDescent="0.2">
      <c r="A17" s="95"/>
      <c r="B17" s="63"/>
      <c r="C17" s="66" t="s">
        <v>99</v>
      </c>
      <c r="D17" s="64"/>
      <c r="E17" s="64"/>
      <c r="F17" s="64"/>
      <c r="G17" s="64"/>
      <c r="H17" s="2">
        <v>1</v>
      </c>
      <c r="I17" s="64"/>
      <c r="J17" s="65"/>
      <c r="K17" s="78"/>
      <c r="L17" s="78"/>
      <c r="M17" s="78"/>
      <c r="N17" s="78"/>
      <c r="O17" s="78"/>
      <c r="P17" s="78"/>
      <c r="Q17" s="100"/>
      <c r="R17" s="78"/>
      <c r="S17" s="96"/>
    </row>
    <row r="18" spans="1:26" ht="20.100000000000001" customHeight="1" x14ac:dyDescent="0.15">
      <c r="A18" s="95"/>
      <c r="B18" s="63"/>
      <c r="C18" s="239" t="s">
        <v>31</v>
      </c>
      <c r="D18" s="239"/>
      <c r="E18" s="239"/>
      <c r="F18" s="64"/>
      <c r="G18" s="64"/>
      <c r="H18" s="64"/>
      <c r="I18" s="64"/>
      <c r="J18" s="65"/>
      <c r="K18" s="78"/>
      <c r="L18" s="78"/>
      <c r="M18" s="78"/>
      <c r="N18" s="78"/>
      <c r="O18" s="78"/>
      <c r="P18" s="78"/>
      <c r="Q18" s="100"/>
      <c r="R18" s="78"/>
      <c r="S18" s="96"/>
    </row>
    <row r="19" spans="1:26" ht="20.100000000000001" customHeight="1" thickBot="1" x14ac:dyDescent="0.2">
      <c r="A19" s="95"/>
      <c r="B19" s="68"/>
      <c r="C19" s="240" t="s">
        <v>32</v>
      </c>
      <c r="D19" s="240"/>
      <c r="E19" s="240"/>
      <c r="F19" s="69"/>
      <c r="G19" s="69"/>
      <c r="H19" s="69"/>
      <c r="I19" s="69"/>
      <c r="J19" s="70"/>
      <c r="K19" s="78"/>
      <c r="L19" s="78"/>
      <c r="M19" s="101"/>
      <c r="N19" s="101"/>
      <c r="O19" s="101"/>
      <c r="P19" s="101"/>
      <c r="Q19" s="101"/>
      <c r="R19" s="101"/>
      <c r="S19" s="96"/>
    </row>
    <row r="20" spans="1:26" ht="20.100000000000001" customHeight="1" thickBot="1" x14ac:dyDescent="0.2">
      <c r="A20" s="9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60"/>
      <c r="N20" s="243" t="s">
        <v>104</v>
      </c>
      <c r="O20" s="243"/>
      <c r="P20" s="243"/>
      <c r="Q20" s="243"/>
      <c r="R20" s="62"/>
      <c r="S20" s="96"/>
    </row>
    <row r="21" spans="1:26" ht="20.100000000000001" customHeight="1" x14ac:dyDescent="0.15">
      <c r="A21" s="95"/>
      <c r="B21" s="231"/>
      <c r="C21" s="231"/>
      <c r="D21" s="231"/>
      <c r="E21" s="212"/>
      <c r="F21" s="213"/>
      <c r="G21" s="213"/>
      <c r="H21" s="78"/>
      <c r="I21" s="78"/>
      <c r="J21" s="78"/>
      <c r="K21" s="78"/>
      <c r="L21" s="78"/>
      <c r="M21" s="63"/>
      <c r="N21" s="217" t="s">
        <v>42</v>
      </c>
      <c r="O21" s="218"/>
      <c r="P21" s="81"/>
      <c r="Q21" s="91">
        <f ca="1">上下水道料金計算!F61</f>
        <v>79420</v>
      </c>
      <c r="R21" s="65"/>
      <c r="S21" s="96"/>
    </row>
    <row r="22" spans="1:26" ht="20.100000000000001" customHeight="1" x14ac:dyDescent="0.15">
      <c r="A22" s="95"/>
      <c r="B22" s="78"/>
      <c r="C22" s="78"/>
      <c r="D22" s="109"/>
      <c r="E22" s="109"/>
      <c r="F22" s="78"/>
      <c r="G22" s="78"/>
      <c r="H22" s="78"/>
      <c r="I22" s="78"/>
      <c r="J22" s="78"/>
      <c r="K22" s="78"/>
      <c r="L22" s="78"/>
      <c r="M22" s="63"/>
      <c r="N22" s="219" t="s">
        <v>43</v>
      </c>
      <c r="O22" s="220"/>
      <c r="P22" s="83"/>
      <c r="Q22" s="84">
        <f>IF(H14=1,上下水道料金計算!F130,"")</f>
        <v>43440</v>
      </c>
      <c r="R22" s="65"/>
      <c r="S22" s="96"/>
    </row>
    <row r="23" spans="1:26" ht="20.100000000000001" customHeight="1" thickBot="1" x14ac:dyDescent="0.2">
      <c r="A23" s="95"/>
      <c r="B23" s="231"/>
      <c r="C23" s="231"/>
      <c r="D23" s="231"/>
      <c r="E23" s="212"/>
      <c r="F23" s="213"/>
      <c r="G23" s="213"/>
      <c r="H23" s="78"/>
      <c r="I23" s="78"/>
      <c r="J23" s="78"/>
      <c r="K23" s="78"/>
      <c r="L23" s="78"/>
      <c r="M23" s="63"/>
      <c r="N23" s="221" t="s">
        <v>44</v>
      </c>
      <c r="O23" s="222"/>
      <c r="P23" s="87"/>
      <c r="Q23" s="88">
        <f ca="1">SUM(Q21:Q22)</f>
        <v>122860</v>
      </c>
      <c r="R23" s="65"/>
      <c r="S23" s="96"/>
    </row>
    <row r="24" spans="1:26" ht="20.100000000000001" customHeight="1" x14ac:dyDescent="0.15">
      <c r="A24" s="95"/>
      <c r="B24" s="78"/>
      <c r="C24" s="78"/>
      <c r="D24" s="108"/>
      <c r="E24" s="212"/>
      <c r="F24" s="213"/>
      <c r="G24" s="213"/>
      <c r="H24" s="78"/>
      <c r="I24" s="78"/>
      <c r="J24" s="78"/>
      <c r="K24" s="78"/>
      <c r="L24" s="78"/>
      <c r="M24" s="63"/>
      <c r="N24" s="64"/>
      <c r="O24" s="64"/>
      <c r="P24" s="64"/>
      <c r="Q24" s="72"/>
      <c r="R24" s="65"/>
      <c r="S24" s="96"/>
    </row>
    <row r="25" spans="1:26" ht="20.100000000000001" customHeight="1" thickBot="1" x14ac:dyDescent="0.2">
      <c r="A25" s="95"/>
      <c r="B25" s="231"/>
      <c r="C25" s="231"/>
      <c r="D25" s="231"/>
      <c r="E25" s="212"/>
      <c r="F25" s="213"/>
      <c r="G25" s="213"/>
      <c r="H25" s="78"/>
      <c r="I25" s="78"/>
      <c r="J25" s="78"/>
      <c r="K25" s="78"/>
      <c r="L25" s="78"/>
      <c r="M25" s="63"/>
      <c r="N25" s="74" t="s">
        <v>118</v>
      </c>
      <c r="O25" s="64"/>
      <c r="P25" s="64"/>
      <c r="Q25" s="72"/>
      <c r="R25" s="65"/>
      <c r="S25" s="96"/>
    </row>
    <row r="26" spans="1:26" ht="20.100000000000001" customHeight="1" x14ac:dyDescent="0.15">
      <c r="A26" s="95"/>
      <c r="B26" s="78"/>
      <c r="C26" s="78"/>
      <c r="D26" s="78"/>
      <c r="E26" s="212"/>
      <c r="F26" s="213"/>
      <c r="G26" s="213"/>
      <c r="H26" s="78"/>
      <c r="I26" s="78"/>
      <c r="J26" s="78"/>
      <c r="K26" s="78"/>
      <c r="L26" s="78"/>
      <c r="M26" s="63"/>
      <c r="N26" s="217" t="s">
        <v>42</v>
      </c>
      <c r="O26" s="218"/>
      <c r="P26" s="81"/>
      <c r="Q26" s="91">
        <f ca="1">上下水道料金計算!F38</f>
        <v>72600</v>
      </c>
      <c r="R26" s="65"/>
      <c r="S26" s="96"/>
    </row>
    <row r="27" spans="1:26" ht="20.100000000000001" customHeight="1" x14ac:dyDescent="0.15">
      <c r="A27" s="95"/>
      <c r="B27" s="231"/>
      <c r="C27" s="231"/>
      <c r="D27" s="231"/>
      <c r="E27" s="212"/>
      <c r="F27" s="213"/>
      <c r="G27" s="213"/>
      <c r="H27" s="78"/>
      <c r="I27" s="78"/>
      <c r="J27" s="78"/>
      <c r="K27" s="78"/>
      <c r="L27" s="78"/>
      <c r="M27" s="63"/>
      <c r="N27" s="219" t="s">
        <v>43</v>
      </c>
      <c r="O27" s="220"/>
      <c r="P27" s="83"/>
      <c r="Q27" s="84">
        <f>IF(H14=1,上下水道料金計算!F108,"")</f>
        <v>30900</v>
      </c>
      <c r="R27" s="65"/>
      <c r="S27" s="96"/>
    </row>
    <row r="28" spans="1:26" ht="20.100000000000001" customHeight="1" thickBot="1" x14ac:dyDescent="0.2">
      <c r="A28" s="95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63"/>
      <c r="N28" s="221" t="s">
        <v>44</v>
      </c>
      <c r="O28" s="222"/>
      <c r="P28" s="87"/>
      <c r="Q28" s="88">
        <f ca="1">SUM(Q26:Q27)</f>
        <v>103500</v>
      </c>
      <c r="R28" s="65"/>
      <c r="S28" s="96"/>
    </row>
    <row r="29" spans="1:26" ht="20.100000000000001" customHeight="1" thickBot="1" x14ac:dyDescent="0.2">
      <c r="A29" s="9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68"/>
      <c r="N29" s="69"/>
      <c r="O29" s="69"/>
      <c r="P29" s="69"/>
      <c r="Q29" s="69"/>
      <c r="R29" s="70"/>
      <c r="S29" s="96"/>
    </row>
    <row r="30" spans="1:26" ht="20.100000000000001" customHeight="1" thickBot="1" x14ac:dyDescent="0.2">
      <c r="A30" s="9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99"/>
      <c r="V30" t="s">
        <v>49</v>
      </c>
      <c r="X30" t="s">
        <v>51</v>
      </c>
      <c r="Z30" t="s">
        <v>97</v>
      </c>
    </row>
    <row r="31" spans="1:26" ht="20.100000000000001" customHeight="1" x14ac:dyDescent="0.15">
      <c r="V31">
        <v>13</v>
      </c>
      <c r="X31">
        <v>13</v>
      </c>
      <c r="Z31">
        <v>1</v>
      </c>
    </row>
    <row r="32" spans="1:26" ht="20.100000000000001" customHeight="1" x14ac:dyDescent="0.15">
      <c r="V32">
        <v>20</v>
      </c>
      <c r="X32">
        <v>20</v>
      </c>
      <c r="Z32">
        <v>2</v>
      </c>
    </row>
    <row r="33" spans="22:24" ht="20.100000000000001" customHeight="1" x14ac:dyDescent="0.15">
      <c r="V33">
        <v>25</v>
      </c>
      <c r="X33">
        <v>25</v>
      </c>
    </row>
    <row r="34" spans="22:24" ht="20.100000000000001" customHeight="1" x14ac:dyDescent="0.15">
      <c r="V34">
        <v>30</v>
      </c>
      <c r="X34">
        <v>30</v>
      </c>
    </row>
    <row r="35" spans="22:24" ht="20.100000000000001" customHeight="1" x14ac:dyDescent="0.15">
      <c r="V35">
        <v>40</v>
      </c>
      <c r="X35">
        <v>40</v>
      </c>
    </row>
    <row r="36" spans="22:24" ht="20.100000000000001" customHeight="1" x14ac:dyDescent="0.15">
      <c r="V36">
        <v>50</v>
      </c>
      <c r="X36">
        <v>50</v>
      </c>
    </row>
    <row r="37" spans="22:24" ht="20.100000000000001" customHeight="1" x14ac:dyDescent="0.15">
      <c r="V37" s="1" t="s">
        <v>50</v>
      </c>
      <c r="X37" s="1" t="s">
        <v>50</v>
      </c>
    </row>
    <row r="38" spans="22:24" ht="20.100000000000001" customHeight="1" x14ac:dyDescent="0.15">
      <c r="V38">
        <v>150</v>
      </c>
      <c r="X38">
        <v>150</v>
      </c>
    </row>
  </sheetData>
  <protectedRanges>
    <protectedRange sqref="H6:H14 H17" name="範囲1"/>
  </protectedRanges>
  <mergeCells count="30">
    <mergeCell ref="B25:D25"/>
    <mergeCell ref="B27:D27"/>
    <mergeCell ref="F2:N3"/>
    <mergeCell ref="M4:R4"/>
    <mergeCell ref="C18:E18"/>
    <mergeCell ref="C19:E19"/>
    <mergeCell ref="N5:Q5"/>
    <mergeCell ref="O10:P10"/>
    <mergeCell ref="O14:P14"/>
    <mergeCell ref="N20:Q20"/>
    <mergeCell ref="C4:H4"/>
    <mergeCell ref="C15:E15"/>
    <mergeCell ref="C16:E16"/>
    <mergeCell ref="C6:G6"/>
    <mergeCell ref="C8:G8"/>
    <mergeCell ref="C12:G12"/>
    <mergeCell ref="C14:G14"/>
    <mergeCell ref="C10:G10"/>
    <mergeCell ref="N23:O23"/>
    <mergeCell ref="B21:D21"/>
    <mergeCell ref="B23:D23"/>
    <mergeCell ref="N26:O26"/>
    <mergeCell ref="N27:O27"/>
    <mergeCell ref="N28:O28"/>
    <mergeCell ref="N6:Q6"/>
    <mergeCell ref="N8:O8"/>
    <mergeCell ref="N12:O12"/>
    <mergeCell ref="N15:O15"/>
    <mergeCell ref="N21:O21"/>
    <mergeCell ref="N22:O22"/>
  </mergeCells>
  <phoneticPr fontId="2"/>
  <dataValidations count="3">
    <dataValidation type="list" allowBlank="1" showInputMessage="1" showErrorMessage="1" sqref="H6">
      <formula1>$V$31:$V$38</formula1>
    </dataValidation>
    <dataValidation type="list" allowBlank="1" showInputMessage="1" showErrorMessage="1" sqref="H8">
      <formula1>$X$31:$X$38</formula1>
    </dataValidation>
    <dataValidation type="list" allowBlank="1" showInputMessage="1" showErrorMessage="1" sqref="H14 H17">
      <formula1>$Z$31:$Z$32</formula1>
    </dataValidation>
  </dataValidations>
  <pageMargins left="0.68" right="0.44" top="0.56000000000000005" bottom="0.53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上水道料金計算">
                <anchor moveWithCells="1" siz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料金表">
                <anchor moveWithCells="1" siz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水道連合専用との比較表">
                <anchor moveWithCells="1" siz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下水道連合専用との比較表">
                <anchor moveWithCells="1" siz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S132"/>
  <sheetViews>
    <sheetView workbookViewId="0">
      <selection activeCell="A2" sqref="A2"/>
    </sheetView>
  </sheetViews>
  <sheetFormatPr defaultColWidth="8.625" defaultRowHeight="20.100000000000001" customHeight="1" x14ac:dyDescent="0.15"/>
  <cols>
    <col min="1" max="1" width="26.125" style="110" customWidth="1"/>
    <col min="2" max="2" width="10" style="110" customWidth="1"/>
    <col min="3" max="3" width="12.25" style="110" customWidth="1"/>
    <col min="4" max="4" width="9.625" style="110" bestFit="1" customWidth="1"/>
    <col min="5" max="5" width="8.625" style="110"/>
    <col min="6" max="6" width="10.5" style="110" customWidth="1"/>
    <col min="7" max="7" width="11.25" style="110" bestFit="1" customWidth="1"/>
    <col min="8" max="8" width="12.625" style="111" customWidth="1"/>
    <col min="9" max="9" width="3.25" style="110" customWidth="1"/>
    <col min="10" max="10" width="10" style="110" customWidth="1"/>
    <col min="11" max="11" width="10.625" style="110" customWidth="1"/>
    <col min="12" max="12" width="12.625" style="110" customWidth="1"/>
    <col min="13" max="15" width="8.625" style="110"/>
    <col min="16" max="16" width="10.5" style="110" hidden="1" customWidth="1"/>
    <col min="17" max="17" width="4.375" style="110" hidden="1" customWidth="1"/>
    <col min="18" max="18" width="10.625" style="110" hidden="1" customWidth="1"/>
    <col min="19" max="19" width="8.625" style="110" customWidth="1"/>
    <col min="20" max="16384" width="8.625" style="110"/>
  </cols>
  <sheetData>
    <row r="1" spans="1:19" ht="23.25" customHeight="1" x14ac:dyDescent="0.15">
      <c r="B1" s="254" t="s">
        <v>45</v>
      </c>
      <c r="C1" s="254"/>
      <c r="D1" s="254"/>
      <c r="E1" s="254"/>
      <c r="F1" s="254"/>
      <c r="G1" s="254"/>
      <c r="H1" s="254"/>
    </row>
    <row r="2" spans="1:19" ht="13.5" customHeight="1" thickBot="1" x14ac:dyDescent="0.2"/>
    <row r="3" spans="1:19" ht="20.100000000000001" customHeight="1" thickBot="1" x14ac:dyDescent="0.2">
      <c r="B3" s="112" t="s">
        <v>46</v>
      </c>
      <c r="C3" s="113">
        <f>連合専用条件入力画面!$H$8</f>
        <v>30</v>
      </c>
      <c r="D3" s="114" t="s">
        <v>47</v>
      </c>
      <c r="E3" s="115">
        <f>連合専用条件入力画面!$H$10</f>
        <v>10</v>
      </c>
      <c r="F3" s="248" t="s">
        <v>48</v>
      </c>
      <c r="G3" s="249"/>
      <c r="H3" s="116">
        <f>連合専用条件入力画面!$H$12</f>
        <v>400</v>
      </c>
    </row>
    <row r="4" spans="1:19" ht="9.75" customHeight="1" x14ac:dyDescent="0.15">
      <c r="R4" s="117"/>
      <c r="S4" s="118"/>
    </row>
    <row r="5" spans="1:19" ht="16.5" customHeight="1" x14ac:dyDescent="0.15">
      <c r="F5" s="119" t="s">
        <v>54</v>
      </c>
      <c r="R5" s="117"/>
      <c r="S5" s="118"/>
    </row>
    <row r="6" spans="1:19" ht="20.100000000000001" customHeight="1" x14ac:dyDescent="0.15">
      <c r="A6" s="120" t="s">
        <v>92</v>
      </c>
      <c r="B6" s="121">
        <v>8</v>
      </c>
      <c r="C6" s="122" t="s">
        <v>52</v>
      </c>
      <c r="D6" s="123">
        <f>$E$3</f>
        <v>10</v>
      </c>
      <c r="E6" s="122" t="s">
        <v>53</v>
      </c>
      <c r="F6" s="121">
        <f>B6*D6</f>
        <v>80</v>
      </c>
      <c r="R6" s="117"/>
      <c r="S6" s="118"/>
    </row>
    <row r="7" spans="1:19" ht="15" customHeight="1" x14ac:dyDescent="0.15">
      <c r="B7" s="119" t="s">
        <v>55</v>
      </c>
      <c r="R7" s="117"/>
      <c r="S7" s="118"/>
    </row>
    <row r="8" spans="1:19" ht="15" customHeight="1" x14ac:dyDescent="0.15">
      <c r="A8" s="120" t="s">
        <v>23</v>
      </c>
      <c r="B8" s="124">
        <f ca="1">SUMIF(P29:R37,C3,R29:R37)</f>
        <v>2180</v>
      </c>
      <c r="C8" s="122" t="s">
        <v>52</v>
      </c>
      <c r="D8" s="123">
        <f>$E$3</f>
        <v>10</v>
      </c>
      <c r="E8" s="122" t="s">
        <v>53</v>
      </c>
      <c r="F8" s="125">
        <f ca="1">B8*D8</f>
        <v>21800</v>
      </c>
      <c r="R8" s="117"/>
      <c r="S8" s="118"/>
    </row>
    <row r="9" spans="1:19" ht="9.9499999999999993" customHeight="1" x14ac:dyDescent="0.15">
      <c r="R9" s="117"/>
      <c r="S9" s="118"/>
    </row>
    <row r="10" spans="1:19" ht="15" customHeight="1" x14ac:dyDescent="0.15">
      <c r="A10" s="110" t="s">
        <v>56</v>
      </c>
      <c r="B10" s="111" t="s">
        <v>61</v>
      </c>
      <c r="C10" s="126">
        <f>IF($C$3&gt;=30,料金表!G13,IF($C$3&lt;=25,料金表!G13,""))</f>
        <v>125</v>
      </c>
      <c r="G10" s="127"/>
      <c r="J10" s="246" t="str">
        <f>CONCATENATE(B6*E3,"㎥を超え",C11*E3,"㎥まで")</f>
        <v>80㎥を超え300㎥まで</v>
      </c>
      <c r="K10" s="246"/>
      <c r="L10" s="246"/>
      <c r="R10" s="117"/>
      <c r="S10" s="118"/>
    </row>
    <row r="11" spans="1:19" ht="15" customHeight="1" x14ac:dyDescent="0.15">
      <c r="B11" s="111" t="s">
        <v>24</v>
      </c>
      <c r="C11" s="128">
        <v>30</v>
      </c>
      <c r="D11" s="111" t="s">
        <v>52</v>
      </c>
      <c r="E11" s="129">
        <f>$E$3</f>
        <v>10</v>
      </c>
      <c r="F11" s="111" t="s">
        <v>53</v>
      </c>
      <c r="G11" s="127">
        <f>C11*E11</f>
        <v>300</v>
      </c>
      <c r="J11" s="111" t="s">
        <v>63</v>
      </c>
      <c r="K11" s="130">
        <f>G11-F6</f>
        <v>220</v>
      </c>
      <c r="L11" s="126">
        <f>K11*C10</f>
        <v>27500</v>
      </c>
      <c r="R11" s="117"/>
      <c r="S11" s="118"/>
    </row>
    <row r="12" spans="1:19" ht="5.0999999999999996" customHeight="1" x14ac:dyDescent="0.15">
      <c r="B12" s="111"/>
      <c r="C12" s="128"/>
      <c r="G12" s="127"/>
      <c r="K12" s="128"/>
      <c r="R12" s="117"/>
      <c r="S12" s="118"/>
    </row>
    <row r="13" spans="1:19" ht="15" customHeight="1" x14ac:dyDescent="0.15">
      <c r="A13" s="110" t="s">
        <v>57</v>
      </c>
      <c r="B13" s="111" t="s">
        <v>61</v>
      </c>
      <c r="C13" s="126">
        <f>IF($C$3&gt;=30,料金表!H13,IF($C$3&lt;=25,料金表!H13,""))</f>
        <v>145</v>
      </c>
      <c r="G13" s="127"/>
      <c r="J13" s="247" t="str">
        <f>CONCATENATE(TEXT(C11*$E$3,"#,##0"),"㎥を超え",TEXT(C14*$E$3,"#,##0"),"㎥まで")</f>
        <v>300㎥を超え500㎥まで</v>
      </c>
      <c r="K13" s="247"/>
      <c r="L13" s="247"/>
    </row>
    <row r="14" spans="1:19" ht="15" customHeight="1" x14ac:dyDescent="0.15">
      <c r="B14" s="111" t="s">
        <v>24</v>
      </c>
      <c r="C14" s="128">
        <v>50</v>
      </c>
      <c r="D14" s="111" t="s">
        <v>52</v>
      </c>
      <c r="E14" s="129">
        <f>$E$3</f>
        <v>10</v>
      </c>
      <c r="F14" s="111" t="s">
        <v>53</v>
      </c>
      <c r="G14" s="127">
        <f>C14*E14</f>
        <v>500</v>
      </c>
      <c r="J14" s="111" t="s">
        <v>63</v>
      </c>
      <c r="K14" s="130">
        <f>G14-G11</f>
        <v>200</v>
      </c>
      <c r="L14" s="126">
        <f>K14*C13</f>
        <v>29000</v>
      </c>
    </row>
    <row r="15" spans="1:19" ht="5.0999999999999996" customHeight="1" x14ac:dyDescent="0.15">
      <c r="B15" s="111"/>
      <c r="C15" s="128"/>
      <c r="G15" s="127"/>
      <c r="K15" s="128"/>
    </row>
    <row r="16" spans="1:19" ht="15" customHeight="1" x14ac:dyDescent="0.15">
      <c r="A16" s="110" t="s">
        <v>58</v>
      </c>
      <c r="B16" s="111" t="s">
        <v>61</v>
      </c>
      <c r="C16" s="126">
        <f>IF($C$3&gt;=30,料金表!I13,IF($C$3&lt;=25,料金表!I13,""))</f>
        <v>170</v>
      </c>
      <c r="G16" s="127"/>
      <c r="J16" s="247" t="str">
        <f>CONCATENATE(TEXT(C14*$E$3,"#,##0"),"㎥を超え",TEXT(C17*$E$3,"#,##0"),"㎥まで")</f>
        <v>500㎥を超え1,000㎥まで</v>
      </c>
      <c r="K16" s="247"/>
      <c r="L16" s="247"/>
    </row>
    <row r="17" spans="1:18" ht="15" customHeight="1" x14ac:dyDescent="0.15">
      <c r="B17" s="111" t="s">
        <v>24</v>
      </c>
      <c r="C17" s="128">
        <v>100</v>
      </c>
      <c r="D17" s="111" t="s">
        <v>52</v>
      </c>
      <c r="E17" s="129">
        <f>$E$3</f>
        <v>10</v>
      </c>
      <c r="F17" s="111" t="s">
        <v>53</v>
      </c>
      <c r="G17" s="127">
        <f>C17*E17</f>
        <v>1000</v>
      </c>
      <c r="J17" s="111" t="s">
        <v>63</v>
      </c>
      <c r="K17" s="130">
        <f>G17-G14</f>
        <v>500</v>
      </c>
      <c r="L17" s="126">
        <f>K17*C16</f>
        <v>85000</v>
      </c>
    </row>
    <row r="18" spans="1:18" ht="5.0999999999999996" customHeight="1" x14ac:dyDescent="0.15">
      <c r="B18" s="111"/>
      <c r="C18" s="128"/>
      <c r="G18" s="127"/>
      <c r="K18" s="128"/>
    </row>
    <row r="19" spans="1:18" ht="15" customHeight="1" x14ac:dyDescent="0.15">
      <c r="A19" s="110" t="s">
        <v>59</v>
      </c>
      <c r="B19" s="111" t="s">
        <v>61</v>
      </c>
      <c r="C19" s="126">
        <f>IF($C$3&gt;=30,料金表!J13,IF($C$3&lt;=25,料金表!J13,""))</f>
        <v>200</v>
      </c>
      <c r="G19" s="127"/>
      <c r="J19" s="247" t="str">
        <f>CONCATENATE(TEXT(C17*$E$3,"#,##0"),"㎥を超え",TEXT(C20*$E$3,"#,##0"),"㎥まで")</f>
        <v>1,000㎥を超え4,000㎥まで</v>
      </c>
      <c r="K19" s="247"/>
      <c r="L19" s="247"/>
    </row>
    <row r="20" spans="1:18" ht="15" customHeight="1" x14ac:dyDescent="0.15">
      <c r="B20" s="111" t="s">
        <v>24</v>
      </c>
      <c r="C20" s="128">
        <v>400</v>
      </c>
      <c r="D20" s="111" t="s">
        <v>52</v>
      </c>
      <c r="E20" s="129">
        <f>$E$3</f>
        <v>10</v>
      </c>
      <c r="F20" s="111" t="s">
        <v>53</v>
      </c>
      <c r="G20" s="127">
        <f>C20*E20</f>
        <v>4000</v>
      </c>
      <c r="J20" s="111" t="s">
        <v>63</v>
      </c>
      <c r="K20" s="130">
        <f>G20-G17</f>
        <v>3000</v>
      </c>
      <c r="L20" s="126">
        <f>K20*C19</f>
        <v>600000</v>
      </c>
    </row>
    <row r="21" spans="1:18" ht="5.0999999999999996" customHeight="1" x14ac:dyDescent="0.15">
      <c r="B21" s="111"/>
      <c r="C21" s="128"/>
    </row>
    <row r="22" spans="1:18" ht="15" customHeight="1" x14ac:dyDescent="0.15">
      <c r="A22" s="110" t="s">
        <v>60</v>
      </c>
      <c r="B22" s="111" t="s">
        <v>61</v>
      </c>
      <c r="C22" s="126">
        <f>IF($C$3&gt;=30,料金表!K13,IF($C$3&lt;=25,料金表!K13,""))</f>
        <v>240</v>
      </c>
      <c r="J22" s="252"/>
      <c r="K22" s="252"/>
    </row>
    <row r="23" spans="1:18" ht="15" customHeight="1" x14ac:dyDescent="0.15">
      <c r="B23" s="111" t="s">
        <v>24</v>
      </c>
      <c r="C23" s="131">
        <v>400</v>
      </c>
    </row>
    <row r="24" spans="1:18" ht="5.0999999999999996" customHeight="1" x14ac:dyDescent="0.15">
      <c r="B24" s="111"/>
      <c r="C24" s="131"/>
    </row>
    <row r="25" spans="1:18" ht="15" customHeight="1" x14ac:dyDescent="0.15">
      <c r="A25" s="251" t="s">
        <v>62</v>
      </c>
      <c r="B25" s="111" t="s">
        <v>61</v>
      </c>
      <c r="C25" s="110">
        <f>IF($C$3&gt;=30,料金表!F30,IF($C$3&lt;=25,"",""))</f>
        <v>0</v>
      </c>
    </row>
    <row r="26" spans="1:18" ht="15" customHeight="1" x14ac:dyDescent="0.15">
      <c r="A26" s="252"/>
      <c r="B26" s="111" t="s">
        <v>24</v>
      </c>
      <c r="C26" s="128">
        <v>8</v>
      </c>
      <c r="D26" s="111" t="s">
        <v>52</v>
      </c>
      <c r="E26" s="129">
        <f>$E$3</f>
        <v>10</v>
      </c>
      <c r="F26" s="111" t="s">
        <v>53</v>
      </c>
      <c r="G26" s="127">
        <f>C26*E26</f>
        <v>80</v>
      </c>
    </row>
    <row r="27" spans="1:18" ht="14.25" customHeight="1" thickBot="1" x14ac:dyDescent="0.2"/>
    <row r="28" spans="1:18" ht="18" customHeight="1" x14ac:dyDescent="0.15">
      <c r="A28" s="132"/>
      <c r="B28" s="133" t="s">
        <v>24</v>
      </c>
      <c r="C28" s="133"/>
      <c r="D28" s="133" t="s">
        <v>61</v>
      </c>
      <c r="E28" s="134"/>
      <c r="F28" s="133" t="s">
        <v>89</v>
      </c>
      <c r="G28" s="135"/>
      <c r="P28" s="111" t="s">
        <v>55</v>
      </c>
      <c r="Q28" s="214" t="s">
        <v>116</v>
      </c>
      <c r="R28" s="111" t="s">
        <v>23</v>
      </c>
    </row>
    <row r="29" spans="1:18" ht="18" customHeight="1" thickBot="1" x14ac:dyDescent="0.2">
      <c r="A29" s="136" t="str">
        <f>CONCATENATE(0,"㎥を超え",8*$E$3,"㎥まで基本料金")</f>
        <v>0㎥を超え80㎥まで基本料金</v>
      </c>
      <c r="B29" s="137">
        <f>E3*8</f>
        <v>80</v>
      </c>
      <c r="C29" s="138" t="s">
        <v>52</v>
      </c>
      <c r="D29" s="139">
        <f ca="1">SUMIF(P29:R37,C3,R29:R37)</f>
        <v>2180</v>
      </c>
      <c r="E29" s="138" t="s">
        <v>53</v>
      </c>
      <c r="F29" s="139">
        <f ca="1">IF(B29="","",$E$3*D29)</f>
        <v>21800</v>
      </c>
      <c r="G29" s="140" t="s">
        <v>23</v>
      </c>
      <c r="P29" s="215">
        <v>13</v>
      </c>
      <c r="Q29" s="216" t="s">
        <v>117</v>
      </c>
      <c r="R29" s="126">
        <f>料金表!D6</f>
        <v>840</v>
      </c>
    </row>
    <row r="30" spans="1:18" ht="18" customHeight="1" thickTop="1" x14ac:dyDescent="0.15">
      <c r="A30" s="141"/>
      <c r="B30" s="142" t="s">
        <v>100</v>
      </c>
      <c r="C30" s="143"/>
      <c r="D30" s="144" t="s">
        <v>101</v>
      </c>
      <c r="E30" s="143"/>
      <c r="F30" s="145"/>
      <c r="G30" s="146"/>
      <c r="P30" s="215"/>
      <c r="Q30" s="216"/>
      <c r="R30" s="126"/>
    </row>
    <row r="31" spans="1:18" ht="18" customHeight="1" x14ac:dyDescent="0.15">
      <c r="A31" s="147" t="str">
        <f>CONCATENATE(TEXT(8*$E$3,"#,##0"),"㎥を超え",TEXT(30*$E$3,"#,##0"),"㎥まで")</f>
        <v>80㎥を超え300㎥まで</v>
      </c>
      <c r="B31" s="148">
        <f>IF($H$3&gt;=G11,K11,IF(F6&lt;$H$3,$H$3-F6,""))</f>
        <v>220</v>
      </c>
      <c r="C31" s="149" t="str">
        <f>IF(B31="","","×")</f>
        <v>×</v>
      </c>
      <c r="D31" s="150">
        <f>IF(B31="","",料金表!$G$13)</f>
        <v>125</v>
      </c>
      <c r="E31" s="149" t="str">
        <f>IF(B31="","","＝")</f>
        <v>＝</v>
      </c>
      <c r="F31" s="150">
        <f>IF(B31="","",B31*D31)</f>
        <v>27500</v>
      </c>
      <c r="G31" s="151"/>
      <c r="P31" s="215">
        <v>20</v>
      </c>
      <c r="Q31" s="216" t="s">
        <v>117</v>
      </c>
      <c r="R31" s="126">
        <f>料金表!D7</f>
        <v>1370</v>
      </c>
    </row>
    <row r="32" spans="1:18" ht="18" customHeight="1" x14ac:dyDescent="0.15">
      <c r="A32" s="147" t="str">
        <f>CONCATENATE(TEXT(30*$E$3,"#,##0"),"㎥を超え",TEXT(50*$E$3,"#,##0"),"㎥まで")</f>
        <v>300㎥を超え500㎥まで</v>
      </c>
      <c r="B32" s="148">
        <f>IF($H$3&gt;=G14,K14,IF(H3&lt;=G11,"",H3-G11))</f>
        <v>100</v>
      </c>
      <c r="C32" s="149" t="str">
        <f t="shared" ref="C32:C37" si="0">IF(B32="","","×")</f>
        <v>×</v>
      </c>
      <c r="D32" s="150">
        <f>IF(B32="","",料金表!$H$13)</f>
        <v>145</v>
      </c>
      <c r="E32" s="149" t="str">
        <f t="shared" ref="E32:E37" si="1">IF(B32="","","＝")</f>
        <v>＝</v>
      </c>
      <c r="F32" s="150">
        <f t="shared" ref="F32:F36" si="2">IF(B32="","",B32*D32)</f>
        <v>14500</v>
      </c>
      <c r="G32" s="151"/>
      <c r="P32" s="215">
        <v>25</v>
      </c>
      <c r="Q32" s="216" t="s">
        <v>117</v>
      </c>
      <c r="R32" s="126">
        <f>料金表!D8</f>
        <v>1890</v>
      </c>
    </row>
    <row r="33" spans="1:18" ht="18" customHeight="1" x14ac:dyDescent="0.15">
      <c r="A33" s="147" t="str">
        <f>CONCATENATE(TEXT(50*$E$3,"#,##0"),"㎥を超え",TEXT(100*$E$3,"#,##0"),"㎥まで")</f>
        <v>500㎥を超え1,000㎥まで</v>
      </c>
      <c r="B33" s="148" t="str">
        <f>IF($H$3&gt;=G17,K17,IF(H3&lt;=G14,"",H3-G14))</f>
        <v/>
      </c>
      <c r="C33" s="149" t="str">
        <f t="shared" si="0"/>
        <v/>
      </c>
      <c r="D33" s="150" t="str">
        <f>IF(B33="","",料金表!$I$13)</f>
        <v/>
      </c>
      <c r="E33" s="149" t="str">
        <f t="shared" si="1"/>
        <v/>
      </c>
      <c r="F33" s="150" t="str">
        <f t="shared" si="2"/>
        <v/>
      </c>
      <c r="G33" s="151"/>
      <c r="P33" s="215">
        <v>30</v>
      </c>
      <c r="Q33" s="216" t="s">
        <v>117</v>
      </c>
      <c r="R33" s="126">
        <f>料金表!D9</f>
        <v>2180</v>
      </c>
    </row>
    <row r="34" spans="1:18" ht="18" customHeight="1" x14ac:dyDescent="0.15">
      <c r="A34" s="147" t="str">
        <f>CONCATENATE(TEXT(100*$E$3,"#,##0"),"㎥を超え",TEXT(400*$E$3,"#,##0"),"㎥まで")</f>
        <v>1,000㎥を超え4,000㎥まで</v>
      </c>
      <c r="B34" s="148" t="str">
        <f>IF($H$3&gt;=G20,K20,IF(H3&lt;=G17,"",H3-G17))</f>
        <v/>
      </c>
      <c r="C34" s="149" t="str">
        <f t="shared" si="0"/>
        <v/>
      </c>
      <c r="D34" s="150" t="str">
        <f>IF(B34="","",料金表!$J$13)</f>
        <v/>
      </c>
      <c r="E34" s="149" t="str">
        <f t="shared" si="1"/>
        <v/>
      </c>
      <c r="F34" s="150" t="str">
        <f t="shared" si="2"/>
        <v/>
      </c>
      <c r="G34" s="151"/>
      <c r="P34" s="215">
        <v>40</v>
      </c>
      <c r="Q34" s="216" t="s">
        <v>117</v>
      </c>
      <c r="R34" s="126">
        <f>料金表!D10</f>
        <v>4390</v>
      </c>
    </row>
    <row r="35" spans="1:18" ht="18" customHeight="1" x14ac:dyDescent="0.15">
      <c r="A35" s="147" t="str">
        <f>CONCATENATE(TEXT(400*$E$3,"#,##0"),"㎥を超えるもの")</f>
        <v>4,000㎥を超えるもの</v>
      </c>
      <c r="B35" s="148" t="str">
        <f>IF(H3&gt;G20,H3-G20,"")</f>
        <v/>
      </c>
      <c r="C35" s="149" t="str">
        <f t="shared" si="0"/>
        <v/>
      </c>
      <c r="D35" s="150" t="str">
        <f>IF(B35="","",料金表!$K$13)</f>
        <v/>
      </c>
      <c r="E35" s="149" t="str">
        <f t="shared" si="1"/>
        <v/>
      </c>
      <c r="F35" s="150" t="str">
        <f t="shared" si="2"/>
        <v/>
      </c>
      <c r="G35" s="151"/>
      <c r="P35" s="215">
        <v>50</v>
      </c>
      <c r="Q35" s="216" t="s">
        <v>117</v>
      </c>
      <c r="R35" s="126">
        <f>料金表!D11</f>
        <v>7270</v>
      </c>
    </row>
    <row r="36" spans="1:18" ht="18" customHeight="1" x14ac:dyDescent="0.15">
      <c r="A36" s="261" t="str">
        <f>CONCATENATE("0㎥を超え",F6,"㎥まで　　　　　　　　　","口径30㎜以上に適用")</f>
        <v>0㎥を超え80㎥まで　　　　　　　　　口径30㎜以上に適用</v>
      </c>
      <c r="B36" s="148">
        <f>IF($C$3&lt;=25,"",IF($H$3&lt;=F6,$H$3,8*E3))</f>
        <v>80</v>
      </c>
      <c r="C36" s="149" t="str">
        <f>IF(B36="","","×")</f>
        <v>×</v>
      </c>
      <c r="D36" s="150">
        <f>IF(B36="","",110)</f>
        <v>110</v>
      </c>
      <c r="E36" s="149" t="str">
        <f t="shared" si="1"/>
        <v>＝</v>
      </c>
      <c r="F36" s="150">
        <f t="shared" si="2"/>
        <v>8800</v>
      </c>
      <c r="G36" s="151"/>
      <c r="P36" s="215" t="s">
        <v>115</v>
      </c>
      <c r="Q36" s="216" t="s">
        <v>117</v>
      </c>
      <c r="R36" s="126">
        <f>料金表!D12</f>
        <v>16500</v>
      </c>
    </row>
    <row r="37" spans="1:18" ht="18" customHeight="1" x14ac:dyDescent="0.15">
      <c r="A37" s="262"/>
      <c r="B37" s="148"/>
      <c r="C37" s="149" t="str">
        <f t="shared" si="0"/>
        <v/>
      </c>
      <c r="D37" s="152"/>
      <c r="E37" s="149" t="str">
        <f t="shared" si="1"/>
        <v/>
      </c>
      <c r="F37" s="150"/>
      <c r="G37" s="151"/>
      <c r="P37" s="215">
        <v>150</v>
      </c>
      <c r="Q37" s="216" t="s">
        <v>117</v>
      </c>
      <c r="R37" s="126">
        <f>料金表!D13</f>
        <v>63750</v>
      </c>
    </row>
    <row r="38" spans="1:18" ht="18" customHeight="1" x14ac:dyDescent="0.15">
      <c r="A38" s="147" t="s">
        <v>64</v>
      </c>
      <c r="B38" s="148">
        <f>F6+SUM(B31:B35)</f>
        <v>400</v>
      </c>
      <c r="C38" s="152"/>
      <c r="D38" s="263" t="s">
        <v>65</v>
      </c>
      <c r="E38" s="263"/>
      <c r="F38" s="150">
        <f ca="1">SUM(F29:F37)</f>
        <v>72600</v>
      </c>
      <c r="G38" s="151"/>
    </row>
    <row r="39" spans="1:18" ht="18" customHeight="1" thickBot="1" x14ac:dyDescent="0.2">
      <c r="A39" s="153"/>
      <c r="B39" s="154"/>
      <c r="C39" s="154"/>
      <c r="D39" s="154"/>
      <c r="E39" s="154"/>
      <c r="F39" s="154"/>
      <c r="G39" s="155"/>
    </row>
    <row r="40" spans="1:18" ht="20.100000000000001" customHeight="1" x14ac:dyDescent="0.15">
      <c r="A40" s="253" t="s">
        <v>102</v>
      </c>
      <c r="B40" s="253"/>
      <c r="C40" s="253"/>
      <c r="D40" s="253"/>
      <c r="E40" s="253"/>
      <c r="F40" s="253"/>
      <c r="G40" s="253"/>
    </row>
    <row r="41" spans="1:18" ht="20.100000000000001" customHeight="1" x14ac:dyDescent="0.15">
      <c r="A41" s="156"/>
      <c r="B41" s="156"/>
      <c r="C41" s="156"/>
      <c r="D41" s="156"/>
      <c r="E41" s="156"/>
      <c r="F41" s="156"/>
      <c r="G41" s="156"/>
    </row>
    <row r="42" spans="1:18" ht="20.100000000000001" customHeight="1" x14ac:dyDescent="0.15">
      <c r="A42" s="156"/>
      <c r="B42" s="156"/>
      <c r="C42" s="156"/>
      <c r="D42" s="156"/>
      <c r="E42" s="156"/>
      <c r="F42" s="156"/>
      <c r="G42" s="156"/>
    </row>
    <row r="43" spans="1:18" ht="20.100000000000001" customHeight="1" x14ac:dyDescent="0.15">
      <c r="A43" s="156"/>
      <c r="B43" s="156"/>
      <c r="C43" s="156"/>
      <c r="D43" s="156"/>
      <c r="E43" s="156"/>
      <c r="F43" s="156"/>
      <c r="G43" s="156"/>
    </row>
    <row r="44" spans="1:18" ht="20.100000000000001" customHeight="1" x14ac:dyDescent="0.15">
      <c r="A44" s="156"/>
      <c r="B44" s="156"/>
      <c r="C44" s="156"/>
      <c r="D44" s="156"/>
      <c r="E44" s="156"/>
      <c r="F44" s="156"/>
      <c r="G44" s="156"/>
    </row>
    <row r="45" spans="1:18" ht="20.100000000000001" customHeight="1" x14ac:dyDescent="0.15">
      <c r="A45" s="156"/>
      <c r="B45" s="156"/>
      <c r="C45" s="156"/>
      <c r="D45" s="156"/>
      <c r="E45" s="156"/>
      <c r="F45" s="156"/>
      <c r="G45" s="156"/>
    </row>
    <row r="46" spans="1:18" ht="20.100000000000001" customHeight="1" x14ac:dyDescent="0.15">
      <c r="A46" s="156"/>
      <c r="B46" s="156"/>
      <c r="C46" s="156"/>
      <c r="D46" s="156"/>
      <c r="E46" s="156"/>
      <c r="F46" s="156"/>
      <c r="G46" s="156"/>
    </row>
    <row r="47" spans="1:18" ht="20.100000000000001" customHeight="1" x14ac:dyDescent="0.15">
      <c r="A47" s="157"/>
      <c r="B47" s="250" t="s">
        <v>84</v>
      </c>
      <c r="C47" s="250"/>
      <c r="D47" s="250"/>
      <c r="E47" s="250"/>
      <c r="F47" s="250"/>
      <c r="G47" s="250"/>
    </row>
    <row r="48" spans="1:18" ht="20.100000000000001" customHeight="1" thickBot="1" x14ac:dyDescent="0.2"/>
    <row r="49" spans="1:8" ht="20.100000000000001" customHeight="1" thickBot="1" x14ac:dyDescent="0.2">
      <c r="B49" s="112" t="s">
        <v>46</v>
      </c>
      <c r="C49" s="113">
        <f>連合専用条件入力画面!$H$6</f>
        <v>40</v>
      </c>
      <c r="D49" s="114" t="s">
        <v>47</v>
      </c>
      <c r="E49" s="115">
        <f>連合専用条件入力画面!$H$10</f>
        <v>10</v>
      </c>
      <c r="F49" s="248" t="s">
        <v>48</v>
      </c>
      <c r="G49" s="249"/>
      <c r="H49" s="116">
        <f>連合専用条件入力画面!$H$12</f>
        <v>400</v>
      </c>
    </row>
    <row r="50" spans="1:8" ht="20.100000000000001" customHeight="1" thickBot="1" x14ac:dyDescent="0.2"/>
    <row r="51" spans="1:8" ht="20.100000000000001" customHeight="1" x14ac:dyDescent="0.15">
      <c r="A51" s="132"/>
      <c r="B51" s="133" t="s">
        <v>24</v>
      </c>
      <c r="C51" s="133"/>
      <c r="D51" s="133" t="s">
        <v>61</v>
      </c>
      <c r="E51" s="134"/>
      <c r="F51" s="133" t="s">
        <v>89</v>
      </c>
      <c r="G51" s="135"/>
    </row>
    <row r="52" spans="1:8" ht="20.100000000000001" customHeight="1" thickBot="1" x14ac:dyDescent="0.2">
      <c r="A52" s="147" t="str">
        <f>CONCATENATE(0,"㎥を超え",8,"㎥まで基本料金")</f>
        <v>0㎥を超え8㎥まで基本料金</v>
      </c>
      <c r="B52" s="158">
        <f>8</f>
        <v>8</v>
      </c>
      <c r="C52" s="149" t="s">
        <v>52</v>
      </c>
      <c r="D52" s="150">
        <f ca="1">SUMIF(P29:R37,C49,R29:R37)</f>
        <v>4390</v>
      </c>
      <c r="E52" s="149" t="s">
        <v>53</v>
      </c>
      <c r="F52" s="150">
        <f ca="1">IF(B52="","",D52*1)</f>
        <v>4390</v>
      </c>
      <c r="G52" s="151" t="s">
        <v>23</v>
      </c>
    </row>
    <row r="53" spans="1:8" ht="20.100000000000001" customHeight="1" thickTop="1" x14ac:dyDescent="0.15">
      <c r="A53" s="141"/>
      <c r="B53" s="142" t="s">
        <v>100</v>
      </c>
      <c r="C53" s="143"/>
      <c r="D53" s="144" t="s">
        <v>101</v>
      </c>
      <c r="E53" s="143"/>
      <c r="F53" s="145"/>
      <c r="G53" s="146"/>
    </row>
    <row r="54" spans="1:8" ht="20.100000000000001" customHeight="1" x14ac:dyDescent="0.15">
      <c r="A54" s="147" t="str">
        <f>CONCATENATE(8,"㎥を超え",30,"㎥まで")</f>
        <v>8㎥を超え30㎥まで</v>
      </c>
      <c r="B54" s="148">
        <f>IF($H$49&gt;=30,22,IF(8&lt;$H$49,$H$49-8,""))</f>
        <v>22</v>
      </c>
      <c r="C54" s="149" t="str">
        <f t="shared" ref="C54:C58" si="3">IF(B54="","","×")</f>
        <v>×</v>
      </c>
      <c r="D54" s="150">
        <f>IF(B54="","",料金表!$G$13)</f>
        <v>125</v>
      </c>
      <c r="E54" s="149" t="str">
        <f t="shared" ref="E54:E58" si="4">IF(B54="","","＝")</f>
        <v>＝</v>
      </c>
      <c r="F54" s="150">
        <f>IF(B54="","",B54*D54)</f>
        <v>2750</v>
      </c>
      <c r="G54" s="151"/>
    </row>
    <row r="55" spans="1:8" ht="20.100000000000001" customHeight="1" x14ac:dyDescent="0.15">
      <c r="A55" s="147" t="str">
        <f>CONCATENATE(30,"㎥を超え",50,"㎥まで")</f>
        <v>30㎥を超え50㎥まで</v>
      </c>
      <c r="B55" s="148">
        <f>IF($H$49&gt;=50,20,IF(30&lt;$H$49,H49-30,""))</f>
        <v>20</v>
      </c>
      <c r="C55" s="149" t="str">
        <f t="shared" si="3"/>
        <v>×</v>
      </c>
      <c r="D55" s="150">
        <f>IF(B55="","",料金表!$H$13)</f>
        <v>145</v>
      </c>
      <c r="E55" s="149" t="str">
        <f t="shared" si="4"/>
        <v>＝</v>
      </c>
      <c r="F55" s="150">
        <f t="shared" ref="F55:F59" si="5">IF(B55="","",B55*D55)</f>
        <v>2900</v>
      </c>
      <c r="G55" s="151"/>
    </row>
    <row r="56" spans="1:8" ht="20.100000000000001" customHeight="1" x14ac:dyDescent="0.15">
      <c r="A56" s="147" t="str">
        <f>CONCATENATE(50,"㎥を超え",100,"㎥まで")</f>
        <v>50㎥を超え100㎥まで</v>
      </c>
      <c r="B56" s="148">
        <f>IF($H$49&gt;=100,50,IF(50&lt;$H$49,H49-50,""))</f>
        <v>50</v>
      </c>
      <c r="C56" s="149" t="str">
        <f t="shared" si="3"/>
        <v>×</v>
      </c>
      <c r="D56" s="150">
        <f>IF(B56="","",料金表!$I$13)</f>
        <v>170</v>
      </c>
      <c r="E56" s="149" t="str">
        <f t="shared" si="4"/>
        <v>＝</v>
      </c>
      <c r="F56" s="150">
        <f t="shared" si="5"/>
        <v>8500</v>
      </c>
      <c r="G56" s="151"/>
    </row>
    <row r="57" spans="1:8" ht="20.100000000000001" customHeight="1" x14ac:dyDescent="0.15">
      <c r="A57" s="147" t="str">
        <f>CONCATENATE(100,"㎥を超え",400,"㎥まで")</f>
        <v>100㎥を超え400㎥まで</v>
      </c>
      <c r="B57" s="148">
        <f>IF($H$49&gt;=400,300,IF(100&lt;$H$49,H49-100,""))</f>
        <v>300</v>
      </c>
      <c r="C57" s="149" t="str">
        <f t="shared" si="3"/>
        <v>×</v>
      </c>
      <c r="D57" s="150">
        <f>IF(B57="","",料金表!$J$13)</f>
        <v>200</v>
      </c>
      <c r="E57" s="149" t="str">
        <f t="shared" si="4"/>
        <v>＝</v>
      </c>
      <c r="F57" s="150">
        <f t="shared" si="5"/>
        <v>60000</v>
      </c>
      <c r="G57" s="151"/>
    </row>
    <row r="58" spans="1:8" ht="20.100000000000001" customHeight="1" x14ac:dyDescent="0.15">
      <c r="A58" s="147" t="str">
        <f>CONCATENATE(400,"㎥を超えるもの")</f>
        <v>400㎥を超えるもの</v>
      </c>
      <c r="B58" s="148">
        <f>IF($H$49&gt;=400,H49-400,IF(400&lt;$H$49,H49-400,""))</f>
        <v>0</v>
      </c>
      <c r="C58" s="149" t="str">
        <f t="shared" si="3"/>
        <v>×</v>
      </c>
      <c r="D58" s="150">
        <f>IF(B58="","",料金表!$K$13)</f>
        <v>240</v>
      </c>
      <c r="E58" s="149" t="str">
        <f t="shared" si="4"/>
        <v>＝</v>
      </c>
      <c r="F58" s="150">
        <f t="shared" si="5"/>
        <v>0</v>
      </c>
      <c r="G58" s="151"/>
    </row>
    <row r="59" spans="1:8" ht="20.100000000000001" customHeight="1" x14ac:dyDescent="0.15">
      <c r="A59" s="261" t="s">
        <v>62</v>
      </c>
      <c r="B59" s="148">
        <f>IF(C49&lt;=25,"",IF($H$3&lt;=8,$H$3,8))</f>
        <v>8</v>
      </c>
      <c r="C59" s="149" t="str">
        <f>IF(B59="","","×")</f>
        <v>×</v>
      </c>
      <c r="D59" s="150">
        <f>IF(B59="","",110)</f>
        <v>110</v>
      </c>
      <c r="E59" s="149" t="str">
        <f>IF(B59="","","＝")</f>
        <v>＝</v>
      </c>
      <c r="F59" s="150">
        <f t="shared" si="5"/>
        <v>880</v>
      </c>
      <c r="G59" s="151"/>
    </row>
    <row r="60" spans="1:8" ht="20.100000000000001" customHeight="1" x14ac:dyDescent="0.15">
      <c r="A60" s="262"/>
      <c r="B60" s="148"/>
      <c r="C60" s="152"/>
      <c r="D60" s="152"/>
      <c r="E60" s="152"/>
      <c r="F60" s="150"/>
      <c r="G60" s="151"/>
    </row>
    <row r="61" spans="1:8" ht="20.100000000000001" customHeight="1" x14ac:dyDescent="0.15">
      <c r="A61" s="147" t="s">
        <v>64</v>
      </c>
      <c r="B61" s="148">
        <f>B6+SUM(B54:B58)</f>
        <v>400</v>
      </c>
      <c r="C61" s="152"/>
      <c r="D61" s="263" t="s">
        <v>65</v>
      </c>
      <c r="E61" s="263"/>
      <c r="F61" s="150">
        <f ca="1">SUM(F52:F60)</f>
        <v>79420</v>
      </c>
      <c r="G61" s="151"/>
    </row>
    <row r="62" spans="1:8" ht="20.100000000000001" customHeight="1" thickBot="1" x14ac:dyDescent="0.2">
      <c r="A62" s="153"/>
      <c r="B62" s="154"/>
      <c r="C62" s="154"/>
      <c r="D62" s="154"/>
      <c r="E62" s="154"/>
      <c r="F62" s="154"/>
      <c r="G62" s="155"/>
    </row>
    <row r="63" spans="1:8" ht="20.100000000000001" customHeight="1" x14ac:dyDescent="0.15">
      <c r="A63" s="253" t="s">
        <v>102</v>
      </c>
      <c r="B63" s="253"/>
      <c r="C63" s="253"/>
      <c r="D63" s="253"/>
      <c r="E63" s="253"/>
      <c r="F63" s="253"/>
      <c r="G63" s="253"/>
    </row>
    <row r="64" spans="1:8" ht="20.100000000000001" customHeight="1" x14ac:dyDescent="0.15">
      <c r="A64" s="156"/>
      <c r="B64" s="156"/>
      <c r="C64" s="156"/>
      <c r="D64" s="156"/>
      <c r="E64" s="156"/>
      <c r="F64" s="156"/>
      <c r="G64" s="156"/>
    </row>
    <row r="65" spans="1:12" ht="20.100000000000001" customHeight="1" x14ac:dyDescent="0.15">
      <c r="A65" s="156"/>
      <c r="B65" s="156"/>
      <c r="C65" s="156"/>
      <c r="D65" s="156"/>
      <c r="E65" s="156"/>
      <c r="F65" s="156"/>
      <c r="G65" s="156"/>
    </row>
    <row r="66" spans="1:12" ht="20.100000000000001" customHeight="1" x14ac:dyDescent="0.15">
      <c r="A66" s="156"/>
      <c r="B66" s="156"/>
      <c r="C66" s="156"/>
      <c r="D66" s="156"/>
      <c r="E66" s="156"/>
      <c r="F66" s="156"/>
      <c r="G66" s="156"/>
    </row>
    <row r="67" spans="1:12" ht="20.100000000000001" customHeight="1" x14ac:dyDescent="0.15">
      <c r="A67" s="156"/>
      <c r="B67" s="156"/>
      <c r="C67" s="156"/>
      <c r="D67" s="156"/>
      <c r="E67" s="156"/>
      <c r="F67" s="156"/>
      <c r="G67" s="156"/>
    </row>
    <row r="68" spans="1:12" ht="20.100000000000001" customHeight="1" x14ac:dyDescent="0.15">
      <c r="A68" s="156"/>
      <c r="B68" s="156"/>
      <c r="C68" s="156"/>
      <c r="D68" s="156"/>
      <c r="E68" s="156"/>
      <c r="F68" s="156"/>
      <c r="G68" s="156"/>
    </row>
    <row r="69" spans="1:12" ht="20.100000000000001" customHeight="1" x14ac:dyDescent="0.15">
      <c r="A69" s="156"/>
      <c r="B69" s="156"/>
      <c r="C69" s="156"/>
      <c r="D69" s="156"/>
      <c r="E69" s="156"/>
      <c r="F69" s="156"/>
      <c r="G69" s="156"/>
    </row>
    <row r="70" spans="1:12" ht="20.100000000000001" customHeight="1" x14ac:dyDescent="0.15">
      <c r="B70" s="254" t="s">
        <v>105</v>
      </c>
      <c r="C70" s="254"/>
      <c r="D70" s="254"/>
      <c r="E70" s="254"/>
      <c r="F70" s="254"/>
      <c r="G70" s="254"/>
      <c r="H70" s="254"/>
    </row>
    <row r="71" spans="1:12" ht="20.100000000000001" customHeight="1" thickBot="1" x14ac:dyDescent="0.2"/>
    <row r="72" spans="1:12" ht="20.100000000000001" customHeight="1" thickBot="1" x14ac:dyDescent="0.2">
      <c r="B72" s="112" t="s">
        <v>46</v>
      </c>
      <c r="C72" s="113">
        <f>連合専用条件入力画面!$H$8</f>
        <v>30</v>
      </c>
      <c r="D72" s="114" t="s">
        <v>47</v>
      </c>
      <c r="E72" s="115">
        <f>連合専用条件入力画面!$H$10</f>
        <v>10</v>
      </c>
      <c r="F72" s="248" t="s">
        <v>48</v>
      </c>
      <c r="G72" s="249"/>
      <c r="H72" s="116">
        <f>連合専用条件入力画面!$H$12</f>
        <v>400</v>
      </c>
    </row>
    <row r="73" spans="1:12" ht="15" customHeight="1" x14ac:dyDescent="0.15"/>
    <row r="74" spans="1:12" ht="15" customHeight="1" x14ac:dyDescent="0.15">
      <c r="A74" s="120" t="s">
        <v>92</v>
      </c>
      <c r="B74" s="121">
        <f>料金表!O6</f>
        <v>8</v>
      </c>
      <c r="C74" s="122" t="s">
        <v>52</v>
      </c>
      <c r="D74" s="123">
        <f>$E$3</f>
        <v>10</v>
      </c>
      <c r="E74" s="122" t="s">
        <v>53</v>
      </c>
      <c r="F74" s="121">
        <f>B74*D74</f>
        <v>80</v>
      </c>
    </row>
    <row r="75" spans="1:12" ht="15" customHeight="1" x14ac:dyDescent="0.15">
      <c r="B75" s="119" t="s">
        <v>55</v>
      </c>
    </row>
    <row r="76" spans="1:12" ht="15" customHeight="1" x14ac:dyDescent="0.15">
      <c r="A76" s="120" t="s">
        <v>23</v>
      </c>
      <c r="B76" s="124">
        <v>500</v>
      </c>
      <c r="C76" s="122" t="s">
        <v>52</v>
      </c>
      <c r="D76" s="123">
        <f>$E$3</f>
        <v>10</v>
      </c>
      <c r="E76" s="122" t="s">
        <v>53</v>
      </c>
      <c r="F76" s="125">
        <f>B76*D76</f>
        <v>5000</v>
      </c>
    </row>
    <row r="77" spans="1:12" ht="9.75" customHeight="1" x14ac:dyDescent="0.15"/>
    <row r="78" spans="1:12" ht="15" customHeight="1" x14ac:dyDescent="0.15">
      <c r="A78" s="159" t="str">
        <f>CONCATENATE($F$74,"㎥を超え",上下水道料金計算!$G$79,"㎥まで")</f>
        <v>80㎥を超え300㎥まで</v>
      </c>
      <c r="B78" s="111" t="s">
        <v>61</v>
      </c>
      <c r="C78" s="126">
        <f>料金表!S7</f>
        <v>70</v>
      </c>
      <c r="G78" s="127"/>
      <c r="J78" s="246" t="s">
        <v>110</v>
      </c>
      <c r="K78" s="246"/>
      <c r="L78" s="246"/>
    </row>
    <row r="79" spans="1:12" ht="15" customHeight="1" x14ac:dyDescent="0.15">
      <c r="A79" s="159"/>
      <c r="B79" s="111" t="s">
        <v>24</v>
      </c>
      <c r="C79" s="128">
        <f>料金表!Q7</f>
        <v>30</v>
      </c>
      <c r="D79" s="111" t="s">
        <v>52</v>
      </c>
      <c r="E79" s="129">
        <f>$E$3</f>
        <v>10</v>
      </c>
      <c r="F79" s="111" t="s">
        <v>53</v>
      </c>
      <c r="G79" s="127">
        <f>C79*E79</f>
        <v>300</v>
      </c>
      <c r="J79" s="111" t="s">
        <v>63</v>
      </c>
      <c r="K79" s="130">
        <f>G79-F74</f>
        <v>220</v>
      </c>
      <c r="L79" s="126">
        <f>K79*C78</f>
        <v>15400</v>
      </c>
    </row>
    <row r="80" spans="1:12" ht="6.75" customHeight="1" x14ac:dyDescent="0.15">
      <c r="A80" s="159"/>
      <c r="B80" s="111"/>
      <c r="C80" s="128"/>
      <c r="G80" s="127"/>
      <c r="K80" s="128"/>
    </row>
    <row r="81" spans="1:12" ht="15" customHeight="1" x14ac:dyDescent="0.15">
      <c r="A81" s="159" t="str">
        <f>CONCATENATE($G$79,"㎥を超え",$G$82,"㎥まで")</f>
        <v>300㎥を超え500㎥まで</v>
      </c>
      <c r="B81" s="111" t="s">
        <v>61</v>
      </c>
      <c r="C81" s="126">
        <f>料金表!S8</f>
        <v>85</v>
      </c>
      <c r="G81" s="127"/>
      <c r="J81" s="247" t="s">
        <v>111</v>
      </c>
      <c r="K81" s="247"/>
      <c r="L81" s="247"/>
    </row>
    <row r="82" spans="1:12" ht="15" customHeight="1" x14ac:dyDescent="0.15">
      <c r="A82" s="159"/>
      <c r="B82" s="111" t="s">
        <v>24</v>
      </c>
      <c r="C82" s="128">
        <f>料金表!Q8</f>
        <v>50</v>
      </c>
      <c r="D82" s="111" t="s">
        <v>52</v>
      </c>
      <c r="E82" s="129">
        <f>$E$3</f>
        <v>10</v>
      </c>
      <c r="F82" s="111" t="s">
        <v>53</v>
      </c>
      <c r="G82" s="127">
        <f>C82*E82</f>
        <v>500</v>
      </c>
      <c r="J82" s="111" t="s">
        <v>63</v>
      </c>
      <c r="K82" s="130">
        <f>G82-G79</f>
        <v>200</v>
      </c>
      <c r="L82" s="126">
        <f>K82*C81</f>
        <v>17000</v>
      </c>
    </row>
    <row r="83" spans="1:12" ht="8.25" customHeight="1" x14ac:dyDescent="0.15">
      <c r="A83" s="159"/>
      <c r="B83" s="111"/>
      <c r="C83" s="128"/>
      <c r="G83" s="127"/>
      <c r="K83" s="128"/>
    </row>
    <row r="84" spans="1:12" ht="15" customHeight="1" x14ac:dyDescent="0.15">
      <c r="A84" s="159" t="str">
        <f>CONCATENATE($G$82,"㎥を超え",$G$85,"㎥まで")</f>
        <v>500㎥を超え1000㎥まで</v>
      </c>
      <c r="B84" s="111" t="s">
        <v>61</v>
      </c>
      <c r="C84" s="126">
        <f>料金表!S9</f>
        <v>100</v>
      </c>
      <c r="G84" s="127"/>
      <c r="J84" s="247" t="s">
        <v>112</v>
      </c>
      <c r="K84" s="247"/>
      <c r="L84" s="247"/>
    </row>
    <row r="85" spans="1:12" ht="15" customHeight="1" x14ac:dyDescent="0.15">
      <c r="A85" s="159"/>
      <c r="B85" s="111" t="s">
        <v>24</v>
      </c>
      <c r="C85" s="128">
        <f>料金表!Q9</f>
        <v>100</v>
      </c>
      <c r="D85" s="111" t="s">
        <v>52</v>
      </c>
      <c r="E85" s="129">
        <f>$E$3</f>
        <v>10</v>
      </c>
      <c r="F85" s="111" t="s">
        <v>53</v>
      </c>
      <c r="G85" s="127">
        <f>C85*E85</f>
        <v>1000</v>
      </c>
      <c r="J85" s="111" t="s">
        <v>63</v>
      </c>
      <c r="K85" s="130">
        <f>G85-G82</f>
        <v>500</v>
      </c>
      <c r="L85" s="126">
        <f>K85*C84</f>
        <v>50000</v>
      </c>
    </row>
    <row r="86" spans="1:12" ht="7.5" customHeight="1" x14ac:dyDescent="0.15">
      <c r="A86" s="159"/>
      <c r="B86" s="111"/>
      <c r="C86" s="128"/>
      <c r="G86" s="127"/>
      <c r="K86" s="128"/>
    </row>
    <row r="87" spans="1:12" ht="15" customHeight="1" x14ac:dyDescent="0.15">
      <c r="A87" s="159" t="str">
        <f>CONCATENATE($G$82,"㎥を超え",$G$88,"㎥まで")</f>
        <v>500㎥を超え4000㎥まで</v>
      </c>
      <c r="B87" s="111" t="s">
        <v>61</v>
      </c>
      <c r="C87" s="126">
        <f>料金表!S10</f>
        <v>115</v>
      </c>
      <c r="G87" s="127"/>
      <c r="J87" s="247" t="s">
        <v>113</v>
      </c>
      <c r="K87" s="247"/>
      <c r="L87" s="247"/>
    </row>
    <row r="88" spans="1:12" ht="15" customHeight="1" x14ac:dyDescent="0.15">
      <c r="A88" s="159"/>
      <c r="B88" s="111" t="s">
        <v>24</v>
      </c>
      <c r="C88" s="128">
        <f>料金表!Q10</f>
        <v>400</v>
      </c>
      <c r="D88" s="111" t="s">
        <v>52</v>
      </c>
      <c r="E88" s="129">
        <f>$E$3</f>
        <v>10</v>
      </c>
      <c r="F88" s="111" t="s">
        <v>53</v>
      </c>
      <c r="G88" s="127">
        <f>C88*E88</f>
        <v>4000</v>
      </c>
      <c r="J88" s="111" t="s">
        <v>63</v>
      </c>
      <c r="K88" s="130">
        <f>G88-G85</f>
        <v>3000</v>
      </c>
      <c r="L88" s="126">
        <f>K88*C87</f>
        <v>345000</v>
      </c>
    </row>
    <row r="89" spans="1:12" ht="15" customHeight="1" x14ac:dyDescent="0.15">
      <c r="A89" s="159" t="str">
        <f>CONCATENATE(料金表!$O$11,"㎥を超えるもの")</f>
        <v>400㎥を超えるもの</v>
      </c>
      <c r="B89" s="111" t="s">
        <v>61</v>
      </c>
      <c r="C89" s="126">
        <f>料金表!S11</f>
        <v>130</v>
      </c>
      <c r="D89" s="111"/>
      <c r="E89" s="129"/>
      <c r="F89" s="111"/>
      <c r="G89" s="127"/>
      <c r="J89" s="111"/>
      <c r="K89" s="130"/>
      <c r="L89" s="126"/>
    </row>
    <row r="90" spans="1:12" ht="15" customHeight="1" x14ac:dyDescent="0.15">
      <c r="B90" s="111" t="s">
        <v>24</v>
      </c>
      <c r="C90" s="131">
        <f>料金表!O11*D74</f>
        <v>4000</v>
      </c>
      <c r="D90" s="111"/>
      <c r="E90" s="129"/>
      <c r="F90" s="111"/>
      <c r="G90" s="127"/>
      <c r="J90" s="111"/>
      <c r="K90" s="130"/>
      <c r="L90" s="126"/>
    </row>
    <row r="91" spans="1:12" ht="15" customHeight="1" x14ac:dyDescent="0.15">
      <c r="B91" s="111"/>
      <c r="C91" s="128"/>
    </row>
    <row r="92" spans="1:12" ht="15" customHeight="1" thickBot="1" x14ac:dyDescent="0.2">
      <c r="B92" s="111"/>
      <c r="C92" s="131"/>
    </row>
    <row r="93" spans="1:12" ht="20.100000000000001" customHeight="1" x14ac:dyDescent="0.15">
      <c r="A93" s="160"/>
      <c r="B93" s="161"/>
      <c r="C93" s="161"/>
      <c r="D93" s="161"/>
      <c r="E93" s="161"/>
      <c r="F93" s="161"/>
      <c r="G93" s="161"/>
      <c r="H93" s="162"/>
    </row>
    <row r="94" spans="1:12" ht="20.100000000000001" customHeight="1" x14ac:dyDescent="0.15">
      <c r="A94" s="163"/>
      <c r="B94" s="164"/>
      <c r="C94" s="258" t="s">
        <v>85</v>
      </c>
      <c r="D94" s="258"/>
      <c r="E94" s="258"/>
      <c r="F94" s="258"/>
      <c r="G94" s="258"/>
      <c r="H94" s="165"/>
    </row>
    <row r="95" spans="1:12" ht="8.25" customHeight="1" thickBot="1" x14ac:dyDescent="0.2">
      <c r="A95" s="163"/>
      <c r="B95" s="164"/>
      <c r="C95" s="166"/>
      <c r="D95" s="166"/>
      <c r="E95" s="166"/>
      <c r="F95" s="166"/>
      <c r="G95" s="166"/>
      <c r="H95" s="165"/>
    </row>
    <row r="96" spans="1:12" ht="20.100000000000001" customHeight="1" thickBot="1" x14ac:dyDescent="0.2">
      <c r="A96" s="163"/>
      <c r="B96" s="167" t="s">
        <v>86</v>
      </c>
      <c r="C96" s="168">
        <f>E49</f>
        <v>10</v>
      </c>
      <c r="D96" s="259" t="s">
        <v>87</v>
      </c>
      <c r="E96" s="260"/>
      <c r="F96" s="169">
        <f>H49</f>
        <v>400</v>
      </c>
      <c r="G96" s="164"/>
      <c r="H96" s="165"/>
    </row>
    <row r="97" spans="1:8" ht="15.75" customHeight="1" x14ac:dyDescent="0.15">
      <c r="A97" s="170"/>
      <c r="B97" s="164"/>
      <c r="C97" s="164"/>
      <c r="D97" s="164"/>
      <c r="E97" s="164"/>
      <c r="F97" s="171" t="s">
        <v>70</v>
      </c>
      <c r="G97" s="164"/>
      <c r="H97" s="165"/>
    </row>
    <row r="98" spans="1:8" ht="20.100000000000001" customHeight="1" x14ac:dyDescent="0.15">
      <c r="A98" s="170" t="s">
        <v>91</v>
      </c>
      <c r="B98" s="172">
        <f>料金表!O6</f>
        <v>8</v>
      </c>
      <c r="C98" s="171" t="s">
        <v>93</v>
      </c>
      <c r="D98" s="173">
        <f>C96</f>
        <v>10</v>
      </c>
      <c r="E98" s="171" t="s">
        <v>94</v>
      </c>
      <c r="F98" s="172">
        <f>B98*D98</f>
        <v>80</v>
      </c>
      <c r="G98" s="164"/>
      <c r="H98" s="165"/>
    </row>
    <row r="99" spans="1:8" ht="9.75" customHeight="1" x14ac:dyDescent="0.15">
      <c r="A99" s="163"/>
      <c r="B99" s="164"/>
      <c r="C99" s="164"/>
      <c r="D99" s="164"/>
      <c r="E99" s="164"/>
      <c r="F99" s="164"/>
      <c r="G99" s="164"/>
      <c r="H99" s="165"/>
    </row>
    <row r="100" spans="1:8" ht="20.100000000000001" customHeight="1" x14ac:dyDescent="0.15">
      <c r="A100" s="174"/>
      <c r="B100" s="149" t="s">
        <v>72</v>
      </c>
      <c r="C100" s="152"/>
      <c r="D100" s="149" t="s">
        <v>88</v>
      </c>
      <c r="E100" s="152"/>
      <c r="F100" s="149" t="s">
        <v>89</v>
      </c>
      <c r="G100" s="149" t="s">
        <v>90</v>
      </c>
      <c r="H100" s="165"/>
    </row>
    <row r="101" spans="1:8" ht="20.100000000000001" customHeight="1" thickBot="1" x14ac:dyDescent="0.2">
      <c r="A101" s="147" t="str">
        <f>CONCATENATE("0㎥を越え",F98,"㎥まで基本水量")</f>
        <v>0㎥を越え80㎥まで基本水量</v>
      </c>
      <c r="B101" s="148"/>
      <c r="C101" s="149"/>
      <c r="D101" s="150">
        <v>700</v>
      </c>
      <c r="E101" s="149" t="s">
        <v>94</v>
      </c>
      <c r="F101" s="150">
        <f>D98*D101</f>
        <v>7000</v>
      </c>
      <c r="G101" s="152"/>
      <c r="H101" s="165"/>
    </row>
    <row r="102" spans="1:8" ht="20.100000000000001" customHeight="1" thickTop="1" x14ac:dyDescent="0.15">
      <c r="A102" s="141"/>
      <c r="B102" s="142" t="s">
        <v>100</v>
      </c>
      <c r="C102" s="143"/>
      <c r="D102" s="144" t="s">
        <v>101</v>
      </c>
      <c r="E102" s="143"/>
      <c r="F102" s="145"/>
      <c r="G102" s="146"/>
      <c r="H102" s="165"/>
    </row>
    <row r="103" spans="1:8" ht="20.100000000000001" customHeight="1" x14ac:dyDescent="0.15">
      <c r="A103" s="147" t="str">
        <f>CONCATENATE(F74,"㎥を超え",G79,"㎥まで")</f>
        <v>80㎥を超え300㎥まで</v>
      </c>
      <c r="B103" s="148">
        <f>IF($H$72&gt;=G79,K79,IF(F74&lt;H72,$H$72-F74,""))</f>
        <v>220</v>
      </c>
      <c r="C103" s="149" t="str">
        <f t="shared" ref="C103:C107" si="6">IF(B103="","","×")</f>
        <v>×</v>
      </c>
      <c r="D103" s="150">
        <f>IF(B103="","",料金表!S7)</f>
        <v>70</v>
      </c>
      <c r="E103" s="149" t="str">
        <f t="shared" ref="E103:E106" si="7">IF(B103="","","＝")</f>
        <v>＝</v>
      </c>
      <c r="F103" s="150">
        <f>IF(B103="","",B103*D103)</f>
        <v>15400</v>
      </c>
      <c r="G103" s="152"/>
      <c r="H103" s="165"/>
    </row>
    <row r="104" spans="1:8" ht="20.100000000000001" customHeight="1" x14ac:dyDescent="0.15">
      <c r="A104" s="147" t="str">
        <f>CONCATENATE(G79,"㎥を超え",G82,"㎥まで")</f>
        <v>300㎥を超え500㎥まで</v>
      </c>
      <c r="B104" s="148">
        <f>IF($H$72&gt;=G82,K82,IF($H$72&lt;G79,"",$H$72-G79))</f>
        <v>100</v>
      </c>
      <c r="C104" s="149" t="str">
        <f t="shared" si="6"/>
        <v>×</v>
      </c>
      <c r="D104" s="150">
        <f>IF(B104="","",料金表!S8)</f>
        <v>85</v>
      </c>
      <c r="E104" s="149" t="str">
        <f t="shared" si="7"/>
        <v>＝</v>
      </c>
      <c r="F104" s="150">
        <f t="shared" ref="F104:F106" si="8">IF(B104="","",B104*D104)</f>
        <v>8500</v>
      </c>
      <c r="G104" s="152"/>
      <c r="H104" s="165"/>
    </row>
    <row r="105" spans="1:8" ht="20.100000000000001" customHeight="1" x14ac:dyDescent="0.15">
      <c r="A105" s="147" t="str">
        <f>CONCATENATE(G82,"㎥を超え",G85,"㎥まで")</f>
        <v>500㎥を超え1000㎥まで</v>
      </c>
      <c r="B105" s="148" t="str">
        <f>IF($H$72&gt;=G85,K85,IF($H$72&lt;=G82,"",$H$72-G82))</f>
        <v/>
      </c>
      <c r="C105" s="149" t="str">
        <f t="shared" si="6"/>
        <v/>
      </c>
      <c r="D105" s="150" t="str">
        <f>IF(B105="","",料金表!S9)</f>
        <v/>
      </c>
      <c r="E105" s="149" t="str">
        <f t="shared" si="7"/>
        <v/>
      </c>
      <c r="F105" s="150" t="str">
        <f t="shared" si="8"/>
        <v/>
      </c>
      <c r="G105" s="152"/>
      <c r="H105" s="165"/>
    </row>
    <row r="106" spans="1:8" ht="20.100000000000001" customHeight="1" x14ac:dyDescent="0.15">
      <c r="A106" s="147" t="str">
        <f>CONCATENATE(G85,"㎥を超え",G88,"㎥まで")</f>
        <v>1000㎥を超え4000㎥まで</v>
      </c>
      <c r="B106" s="148" t="str">
        <f>IF($H$72&gt;=G88,K88,IF($H$72&lt;G85,"",$H$72-G85))</f>
        <v/>
      </c>
      <c r="C106" s="149" t="str">
        <f t="shared" si="6"/>
        <v/>
      </c>
      <c r="D106" s="150" t="str">
        <f>IF(B106="","",料金表!S10)</f>
        <v/>
      </c>
      <c r="E106" s="149" t="str">
        <f t="shared" si="7"/>
        <v/>
      </c>
      <c r="F106" s="150" t="str">
        <f t="shared" si="8"/>
        <v/>
      </c>
      <c r="G106" s="152"/>
      <c r="H106" s="165"/>
    </row>
    <row r="107" spans="1:8" ht="20.100000000000001" customHeight="1" x14ac:dyDescent="0.15">
      <c r="A107" s="147" t="str">
        <f>CONCATENATE(G88,"㎥を超えるもの")</f>
        <v>4000㎥を超えるもの</v>
      </c>
      <c r="B107" s="148" t="str">
        <f>IF($H$72&gt;=G88,$H$72-G88,"")</f>
        <v/>
      </c>
      <c r="C107" s="149" t="str">
        <f t="shared" si="6"/>
        <v/>
      </c>
      <c r="D107" s="150" t="str">
        <f>IF(B107="","",料金表!S11)</f>
        <v/>
      </c>
      <c r="E107" s="149" t="str">
        <f t="shared" ref="E107" si="9">IF(B107="","","＝")</f>
        <v/>
      </c>
      <c r="F107" s="150" t="str">
        <f t="shared" ref="F107" si="10">IF(B107="","",B107*D107)</f>
        <v/>
      </c>
      <c r="G107" s="152"/>
      <c r="H107" s="165"/>
    </row>
    <row r="108" spans="1:8" ht="20.100000000000001" customHeight="1" x14ac:dyDescent="0.15">
      <c r="A108" s="147" t="s">
        <v>72</v>
      </c>
      <c r="B108" s="148">
        <f>SUM(B103:B107)+F98</f>
        <v>400</v>
      </c>
      <c r="C108" s="152"/>
      <c r="D108" s="152"/>
      <c r="E108" s="149" t="s">
        <v>73</v>
      </c>
      <c r="F108" s="150">
        <f>SUM(F103:F107)+F101</f>
        <v>30900</v>
      </c>
      <c r="G108" s="152"/>
      <c r="H108" s="165"/>
    </row>
    <row r="109" spans="1:8" ht="20.100000000000001" customHeight="1" thickBot="1" x14ac:dyDescent="0.2">
      <c r="A109" s="175"/>
      <c r="B109" s="176"/>
      <c r="C109" s="176"/>
      <c r="D109" s="176"/>
      <c r="E109" s="176"/>
      <c r="F109" s="176"/>
      <c r="G109" s="176"/>
      <c r="H109" s="177"/>
    </row>
    <row r="110" spans="1:8" ht="20.100000000000001" customHeight="1" x14ac:dyDescent="0.15">
      <c r="A110" s="157"/>
      <c r="B110" s="157"/>
      <c r="C110" s="157"/>
      <c r="D110" s="157"/>
      <c r="E110" s="157"/>
      <c r="F110" s="157"/>
      <c r="G110" s="157"/>
      <c r="H110" s="156"/>
    </row>
    <row r="111" spans="1:8" ht="20.100000000000001" customHeight="1" x14ac:dyDescent="0.15">
      <c r="H111" s="110"/>
    </row>
    <row r="112" spans="1:8" ht="20.100000000000001" customHeight="1" x14ac:dyDescent="0.15">
      <c r="H112" s="110"/>
    </row>
    <row r="113" spans="1:8" ht="20.100000000000001" customHeight="1" x14ac:dyDescent="0.15">
      <c r="H113" s="110"/>
    </row>
    <row r="114" spans="1:8" ht="20.100000000000001" customHeight="1" x14ac:dyDescent="0.15">
      <c r="H114" s="110"/>
    </row>
    <row r="115" spans="1:8" ht="20.100000000000001" customHeight="1" thickBot="1" x14ac:dyDescent="0.2"/>
    <row r="116" spans="1:8" ht="20.100000000000001" customHeight="1" x14ac:dyDescent="0.15">
      <c r="A116" s="178"/>
      <c r="B116" s="179"/>
      <c r="C116" s="179"/>
      <c r="D116" s="179"/>
      <c r="E116" s="179"/>
      <c r="F116" s="179"/>
      <c r="G116" s="179"/>
      <c r="H116" s="180"/>
    </row>
    <row r="117" spans="1:8" ht="20.100000000000001" customHeight="1" x14ac:dyDescent="0.15">
      <c r="A117" s="181"/>
      <c r="B117" s="182"/>
      <c r="C117" s="255" t="s">
        <v>95</v>
      </c>
      <c r="D117" s="255"/>
      <c r="E117" s="255"/>
      <c r="F117" s="255"/>
      <c r="G117" s="255"/>
      <c r="H117" s="183"/>
    </row>
    <row r="118" spans="1:8" ht="20.100000000000001" customHeight="1" thickBot="1" x14ac:dyDescent="0.2">
      <c r="A118" s="181"/>
      <c r="B118" s="182"/>
      <c r="C118" s="184"/>
      <c r="D118" s="184"/>
      <c r="E118" s="184"/>
      <c r="F118" s="184"/>
      <c r="G118" s="184"/>
      <c r="H118" s="183"/>
    </row>
    <row r="119" spans="1:8" ht="20.100000000000001" customHeight="1" thickBot="1" x14ac:dyDescent="0.2">
      <c r="A119" s="181"/>
      <c r="B119" s="185" t="s">
        <v>86</v>
      </c>
      <c r="C119" s="186">
        <f>連合専用条件入力画面!H10</f>
        <v>10</v>
      </c>
      <c r="D119" s="256" t="s">
        <v>87</v>
      </c>
      <c r="E119" s="257"/>
      <c r="F119" s="187">
        <f>連合専用条件入力画面!H12</f>
        <v>400</v>
      </c>
      <c r="G119" s="182"/>
      <c r="H119" s="183"/>
    </row>
    <row r="120" spans="1:8" ht="20.100000000000001" customHeight="1" x14ac:dyDescent="0.15">
      <c r="A120" s="181"/>
      <c r="B120" s="182"/>
      <c r="C120" s="182"/>
      <c r="D120" s="182"/>
      <c r="E120" s="182"/>
      <c r="F120" s="182"/>
      <c r="G120" s="182"/>
      <c r="H120" s="183"/>
    </row>
    <row r="121" spans="1:8" ht="20.100000000000001" customHeight="1" x14ac:dyDescent="0.15">
      <c r="A121" s="188"/>
      <c r="B121" s="189" t="s">
        <v>72</v>
      </c>
      <c r="C121" s="190"/>
      <c r="D121" s="189" t="s">
        <v>88</v>
      </c>
      <c r="E121" s="190"/>
      <c r="F121" s="189" t="s">
        <v>89</v>
      </c>
      <c r="G121" s="189" t="s">
        <v>90</v>
      </c>
      <c r="H121" s="183"/>
    </row>
    <row r="122" spans="1:8" ht="20.100000000000001" customHeight="1" thickBot="1" x14ac:dyDescent="0.2">
      <c r="A122" s="191" t="str">
        <f>CONCATENATE("0㎥を越え",B74,"㎥まで基本水量")</f>
        <v>0㎥を越え8㎥まで基本水量</v>
      </c>
      <c r="B122" s="192"/>
      <c r="C122" s="193"/>
      <c r="D122" s="194">
        <v>700</v>
      </c>
      <c r="E122" s="193" t="s">
        <v>94</v>
      </c>
      <c r="F122" s="194">
        <f>D122</f>
        <v>700</v>
      </c>
      <c r="G122" s="195"/>
      <c r="H122" s="183"/>
    </row>
    <row r="123" spans="1:8" ht="20.100000000000001" customHeight="1" thickTop="1" x14ac:dyDescent="0.15">
      <c r="A123" s="196"/>
      <c r="B123" s="197" t="s">
        <v>100</v>
      </c>
      <c r="C123" s="198"/>
      <c r="D123" s="197" t="s">
        <v>101</v>
      </c>
      <c r="E123" s="198"/>
      <c r="F123" s="198"/>
      <c r="G123" s="198"/>
      <c r="H123" s="183"/>
    </row>
    <row r="124" spans="1:8" ht="20.100000000000001" customHeight="1" x14ac:dyDescent="0.15">
      <c r="A124" s="199" t="str">
        <f>CONCATENATE(TEXT(料金表!O7,"#,##0"),"㎥を超え",TEXT(料金表!Q7,"#,##0"),"㎥まで")</f>
        <v>8㎥を超え30㎥まで</v>
      </c>
      <c r="B124" s="200">
        <f>IF($F$119&gt;=料金表!Q7,料金表!Q7-料金表!O7,IF($F$119&lt;=料金表!O6,"",$F$119-料金表!O6))</f>
        <v>22</v>
      </c>
      <c r="C124" s="189" t="str">
        <f>IF(B124="","","×")</f>
        <v>×</v>
      </c>
      <c r="D124" s="201">
        <f>IF(B124="","",料金表!S7)</f>
        <v>70</v>
      </c>
      <c r="E124" s="189" t="str">
        <f>IF(B124="","","=")</f>
        <v>=</v>
      </c>
      <c r="F124" s="201">
        <f>IF(B124="","",B124*D124)</f>
        <v>1540</v>
      </c>
      <c r="G124" s="190"/>
      <c r="H124" s="183"/>
    </row>
    <row r="125" spans="1:8" ht="20.100000000000001" customHeight="1" x14ac:dyDescent="0.15">
      <c r="A125" s="199" t="str">
        <f>CONCATENATE(TEXT(料金表!O8,"#,##0"),"㎥を超え",TEXT(料金表!Q8,"#,##0"),"㎥まで")</f>
        <v>30㎥を超え50㎥まで</v>
      </c>
      <c r="B125" s="200">
        <f>IF($F$119&gt;=料金表!Q8,料金表!Q8-料金表!O8,IF($F$119&lt;=料金表!O8,"",$F$119-料金表!O8))</f>
        <v>20</v>
      </c>
      <c r="C125" s="189" t="str">
        <f t="shared" ref="C125:C127" si="11">IF(B125="","","×")</f>
        <v>×</v>
      </c>
      <c r="D125" s="201">
        <f>IF(B125="","",料金表!S8)</f>
        <v>85</v>
      </c>
      <c r="E125" s="189" t="str">
        <f t="shared" ref="E125:E127" si="12">IF(B125="","","=")</f>
        <v>=</v>
      </c>
      <c r="F125" s="201">
        <f t="shared" ref="F125:F127" si="13">IF(B125="","",B125*D125)</f>
        <v>1700</v>
      </c>
      <c r="G125" s="190"/>
      <c r="H125" s="183"/>
    </row>
    <row r="126" spans="1:8" ht="20.100000000000001" customHeight="1" x14ac:dyDescent="0.15">
      <c r="A126" s="199" t="str">
        <f>CONCATENATE(TEXT(料金表!O9,"#,##0"),"㎥を超え",TEXT(料金表!Q9,"#,##0"),"㎥まで")</f>
        <v>50㎥を超え100㎥まで</v>
      </c>
      <c r="B126" s="200">
        <f>IF($F$119&gt;=料金表!Q9,料金表!Q9-料金表!O9,IF($F$119&lt;=料金表!O9,"",$F$119-料金表!O9))</f>
        <v>50</v>
      </c>
      <c r="C126" s="189" t="str">
        <f t="shared" si="11"/>
        <v>×</v>
      </c>
      <c r="D126" s="201">
        <f>IF(B126="","",料金表!S9)</f>
        <v>100</v>
      </c>
      <c r="E126" s="189" t="str">
        <f t="shared" si="12"/>
        <v>=</v>
      </c>
      <c r="F126" s="201">
        <f t="shared" si="13"/>
        <v>5000</v>
      </c>
      <c r="G126" s="190"/>
      <c r="H126" s="183"/>
    </row>
    <row r="127" spans="1:8" ht="20.100000000000001" customHeight="1" x14ac:dyDescent="0.15">
      <c r="A127" s="199" t="str">
        <f>CONCATENATE(TEXT(料金表!O10,"#,##0"),"㎥を超え",TEXT(料金表!Q10,"#,##0"),"㎥まで")</f>
        <v>100㎥を超え400㎥まで</v>
      </c>
      <c r="B127" s="200">
        <f>IF($F$119&gt;=料金表!Q10,料金表!Q10-料金表!O10,IF($F$119&lt;=料金表!O10,"",$F$119-料金表!O10))</f>
        <v>300</v>
      </c>
      <c r="C127" s="189" t="str">
        <f t="shared" si="11"/>
        <v>×</v>
      </c>
      <c r="D127" s="201">
        <f>IF(B127="","",料金表!S10)</f>
        <v>115</v>
      </c>
      <c r="E127" s="189" t="str">
        <f t="shared" si="12"/>
        <v>=</v>
      </c>
      <c r="F127" s="201">
        <f t="shared" si="13"/>
        <v>34500</v>
      </c>
      <c r="G127" s="190"/>
      <c r="H127" s="183"/>
    </row>
    <row r="128" spans="1:8" ht="20.100000000000001" customHeight="1" x14ac:dyDescent="0.15">
      <c r="A128" s="199" t="str">
        <f>CONCATENATE(TEXT(料金表!O11,"#,##0"),"㎥を超えるもの")</f>
        <v>400㎥を超えるもの</v>
      </c>
      <c r="B128" s="200">
        <f>IF($H$72&gt;=料金表!O11,上下水道料金計算!F119-料金表!O11,"")</f>
        <v>0</v>
      </c>
      <c r="C128" s="189" t="str">
        <f t="shared" ref="C128" si="14">IF(B128="","","×")</f>
        <v>×</v>
      </c>
      <c r="D128" s="201">
        <f>IF(B128="","",料金表!S11)</f>
        <v>130</v>
      </c>
      <c r="E128" s="189" t="str">
        <f t="shared" ref="E128" si="15">IF(B128="","","=")</f>
        <v>=</v>
      </c>
      <c r="F128" s="201">
        <f t="shared" ref="F128" si="16">IF(B128="","",B128*D128)</f>
        <v>0</v>
      </c>
      <c r="G128" s="190"/>
      <c r="H128" s="183"/>
    </row>
    <row r="129" spans="1:8" ht="20.100000000000001" customHeight="1" x14ac:dyDescent="0.15">
      <c r="A129" s="188"/>
      <c r="B129" s="190"/>
      <c r="C129" s="190"/>
      <c r="D129" s="190"/>
      <c r="E129" s="190"/>
      <c r="F129" s="190"/>
      <c r="G129" s="190"/>
      <c r="H129" s="183"/>
    </row>
    <row r="130" spans="1:8" ht="20.100000000000001" customHeight="1" x14ac:dyDescent="0.15">
      <c r="A130" s="199" t="s">
        <v>72</v>
      </c>
      <c r="B130" s="200">
        <f>SUM(B124:B129)+10</f>
        <v>402</v>
      </c>
      <c r="C130" s="190"/>
      <c r="D130" s="190"/>
      <c r="E130" s="189" t="s">
        <v>73</v>
      </c>
      <c r="F130" s="201">
        <f>SUM(F122:F129)</f>
        <v>43440</v>
      </c>
      <c r="G130" s="190"/>
      <c r="H130" s="183"/>
    </row>
    <row r="131" spans="1:8" ht="20.100000000000001" customHeight="1" x14ac:dyDescent="0.15">
      <c r="A131" s="181"/>
      <c r="B131" s="182"/>
      <c r="C131" s="182"/>
      <c r="D131" s="182"/>
      <c r="E131" s="182"/>
      <c r="F131" s="182"/>
      <c r="G131" s="182"/>
      <c r="H131" s="183"/>
    </row>
    <row r="132" spans="1:8" ht="20.100000000000001" customHeight="1" thickBot="1" x14ac:dyDescent="0.2">
      <c r="A132" s="202"/>
      <c r="B132" s="203"/>
      <c r="C132" s="203"/>
      <c r="D132" s="203"/>
      <c r="E132" s="203"/>
      <c r="F132" s="203"/>
      <c r="G132" s="203"/>
      <c r="H132" s="204"/>
    </row>
  </sheetData>
  <sheetProtection sheet="1" objects="1" scenarios="1"/>
  <mergeCells count="26">
    <mergeCell ref="B1:H1"/>
    <mergeCell ref="C117:G117"/>
    <mergeCell ref="D119:E119"/>
    <mergeCell ref="F3:G3"/>
    <mergeCell ref="J10:L10"/>
    <mergeCell ref="F49:G49"/>
    <mergeCell ref="C94:G94"/>
    <mergeCell ref="D96:E96"/>
    <mergeCell ref="A63:G63"/>
    <mergeCell ref="A59:A60"/>
    <mergeCell ref="D61:E61"/>
    <mergeCell ref="J13:L13"/>
    <mergeCell ref="J16:L16"/>
    <mergeCell ref="J19:L19"/>
    <mergeCell ref="A36:A37"/>
    <mergeCell ref="D38:E38"/>
    <mergeCell ref="B47:G47"/>
    <mergeCell ref="A25:A26"/>
    <mergeCell ref="J22:K22"/>
    <mergeCell ref="A40:G40"/>
    <mergeCell ref="B70:H70"/>
    <mergeCell ref="J78:L78"/>
    <mergeCell ref="J81:L81"/>
    <mergeCell ref="J84:L84"/>
    <mergeCell ref="J87:L87"/>
    <mergeCell ref="F72:G72"/>
  </mergeCells>
  <phoneticPr fontId="2"/>
  <pageMargins left="0.4" right="0.49" top="0.37" bottom="0.3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戻る">
                <anchor moveWithCells="1" sizeWithCells="1">
                  <from>
                    <xdr:col>9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3:S18"/>
  <sheetViews>
    <sheetView workbookViewId="0">
      <selection activeCell="O16" sqref="N16:O16"/>
    </sheetView>
  </sheetViews>
  <sheetFormatPr defaultRowHeight="13.5" x14ac:dyDescent="0.15"/>
  <cols>
    <col min="1" max="1" width="10.75" style="110" customWidth="1"/>
    <col min="2" max="2" width="9" style="110"/>
    <col min="3" max="3" width="10.5" style="110" customWidth="1"/>
    <col min="4" max="5" width="9" style="110"/>
    <col min="6" max="11" width="6.625" style="110" customWidth="1"/>
    <col min="12" max="12" width="2.25" style="110" customWidth="1"/>
    <col min="13" max="14" width="8.625" style="110" customWidth="1"/>
    <col min="15" max="15" width="6.5" style="110" customWidth="1"/>
    <col min="16" max="18" width="5.625" style="110" customWidth="1"/>
    <col min="19" max="16384" width="9" style="110"/>
  </cols>
  <sheetData>
    <row r="3" spans="1:19" ht="18.75" x14ac:dyDescent="0.15">
      <c r="C3" s="267" t="s">
        <v>21</v>
      </c>
      <c r="D3" s="267"/>
      <c r="E3" s="267"/>
      <c r="F3" s="267"/>
      <c r="G3" s="267"/>
      <c r="N3" s="265" t="s">
        <v>26</v>
      </c>
      <c r="O3" s="265"/>
      <c r="P3" s="265"/>
      <c r="Q3" s="265"/>
      <c r="R3" s="265"/>
    </row>
    <row r="4" spans="1:19" ht="24.75" customHeight="1" x14ac:dyDescent="0.15"/>
    <row r="5" spans="1:19" ht="39.75" customHeight="1" x14ac:dyDescent="0.15">
      <c r="A5" s="189" t="s">
        <v>0</v>
      </c>
      <c r="B5" s="189" t="s">
        <v>8</v>
      </c>
      <c r="C5" s="205" t="s">
        <v>4</v>
      </c>
      <c r="D5" s="273" t="s">
        <v>1</v>
      </c>
      <c r="E5" s="274"/>
      <c r="F5" s="274" t="s">
        <v>18</v>
      </c>
      <c r="G5" s="274"/>
      <c r="H5" s="274"/>
      <c r="I5" s="274"/>
      <c r="J5" s="274"/>
      <c r="K5" s="274"/>
      <c r="M5" s="149" t="s">
        <v>8</v>
      </c>
      <c r="N5" s="206" t="s">
        <v>4</v>
      </c>
      <c r="O5" s="263" t="s">
        <v>24</v>
      </c>
      <c r="P5" s="263"/>
      <c r="Q5" s="263"/>
      <c r="R5" s="263"/>
      <c r="S5" s="149" t="s">
        <v>25</v>
      </c>
    </row>
    <row r="6" spans="1:19" ht="24.95" customHeight="1" x14ac:dyDescent="0.15">
      <c r="A6" s="273" t="s">
        <v>2</v>
      </c>
      <c r="B6" s="274" t="s">
        <v>3</v>
      </c>
      <c r="C6" s="207">
        <v>13</v>
      </c>
      <c r="D6" s="201">
        <v>840</v>
      </c>
      <c r="E6" s="273" t="s">
        <v>6</v>
      </c>
      <c r="F6" s="264" t="s">
        <v>12</v>
      </c>
      <c r="G6" s="264" t="s">
        <v>13</v>
      </c>
      <c r="H6" s="264" t="s">
        <v>14</v>
      </c>
      <c r="I6" s="264" t="s">
        <v>15</v>
      </c>
      <c r="J6" s="264" t="s">
        <v>16</v>
      </c>
      <c r="K6" s="264" t="s">
        <v>17</v>
      </c>
      <c r="M6" s="152" t="s">
        <v>3</v>
      </c>
      <c r="N6" s="152" t="s">
        <v>23</v>
      </c>
      <c r="O6" s="277">
        <v>8</v>
      </c>
      <c r="P6" s="278"/>
      <c r="Q6" s="278"/>
      <c r="R6" s="279"/>
      <c r="S6" s="150">
        <v>700</v>
      </c>
    </row>
    <row r="7" spans="1:19" ht="24.95" customHeight="1" x14ac:dyDescent="0.15">
      <c r="A7" s="273"/>
      <c r="B7" s="274"/>
      <c r="C7" s="207">
        <v>20</v>
      </c>
      <c r="D7" s="201">
        <v>1370</v>
      </c>
      <c r="E7" s="274"/>
      <c r="F7" s="264"/>
      <c r="G7" s="264"/>
      <c r="H7" s="264"/>
      <c r="I7" s="264"/>
      <c r="J7" s="264"/>
      <c r="K7" s="264"/>
      <c r="M7" s="263"/>
      <c r="N7" s="263"/>
      <c r="O7" s="208">
        <f>O6</f>
        <v>8</v>
      </c>
      <c r="P7" s="209" t="s">
        <v>109</v>
      </c>
      <c r="Q7" s="280">
        <v>30</v>
      </c>
      <c r="R7" s="281"/>
      <c r="S7" s="150">
        <v>70</v>
      </c>
    </row>
    <row r="8" spans="1:19" ht="24.95" customHeight="1" x14ac:dyDescent="0.15">
      <c r="A8" s="273"/>
      <c r="B8" s="274"/>
      <c r="C8" s="207">
        <v>25</v>
      </c>
      <c r="D8" s="201">
        <v>1890</v>
      </c>
      <c r="E8" s="274"/>
      <c r="F8" s="264"/>
      <c r="G8" s="264"/>
      <c r="H8" s="264"/>
      <c r="I8" s="264"/>
      <c r="J8" s="264"/>
      <c r="K8" s="264"/>
      <c r="M8" s="263"/>
      <c r="N8" s="263"/>
      <c r="O8" s="208">
        <f>Q7</f>
        <v>30</v>
      </c>
      <c r="P8" s="209" t="s">
        <v>109</v>
      </c>
      <c r="Q8" s="280">
        <v>50</v>
      </c>
      <c r="R8" s="281"/>
      <c r="S8" s="150">
        <v>85</v>
      </c>
    </row>
    <row r="9" spans="1:19" ht="24.95" customHeight="1" x14ac:dyDescent="0.15">
      <c r="A9" s="273"/>
      <c r="B9" s="274"/>
      <c r="C9" s="207">
        <v>30</v>
      </c>
      <c r="D9" s="268">
        <v>2180</v>
      </c>
      <c r="E9" s="268"/>
      <c r="F9" s="264"/>
      <c r="G9" s="264"/>
      <c r="H9" s="264"/>
      <c r="I9" s="264"/>
      <c r="J9" s="264"/>
      <c r="K9" s="264"/>
      <c r="M9" s="263"/>
      <c r="N9" s="263"/>
      <c r="O9" s="208">
        <f>Q8</f>
        <v>50</v>
      </c>
      <c r="P9" s="209" t="s">
        <v>109</v>
      </c>
      <c r="Q9" s="280">
        <v>100</v>
      </c>
      <c r="R9" s="281"/>
      <c r="S9" s="150">
        <v>100</v>
      </c>
    </row>
    <row r="10" spans="1:19" ht="24.95" customHeight="1" x14ac:dyDescent="0.15">
      <c r="A10" s="273"/>
      <c r="B10" s="274"/>
      <c r="C10" s="207">
        <v>40</v>
      </c>
      <c r="D10" s="268">
        <v>4390</v>
      </c>
      <c r="E10" s="268"/>
      <c r="F10" s="264"/>
      <c r="G10" s="264"/>
      <c r="H10" s="264"/>
      <c r="I10" s="264"/>
      <c r="J10" s="264"/>
      <c r="K10" s="264"/>
      <c r="M10" s="263"/>
      <c r="N10" s="263"/>
      <c r="O10" s="208">
        <f>Q9</f>
        <v>100</v>
      </c>
      <c r="P10" s="209" t="s">
        <v>109</v>
      </c>
      <c r="Q10" s="280">
        <v>400</v>
      </c>
      <c r="R10" s="281"/>
      <c r="S10" s="150">
        <v>115</v>
      </c>
    </row>
    <row r="11" spans="1:19" ht="24.95" customHeight="1" x14ac:dyDescent="0.15">
      <c r="A11" s="273"/>
      <c r="B11" s="274"/>
      <c r="C11" s="207">
        <v>50</v>
      </c>
      <c r="D11" s="268">
        <v>7270</v>
      </c>
      <c r="E11" s="268"/>
      <c r="F11" s="264"/>
      <c r="G11" s="264"/>
      <c r="H11" s="264"/>
      <c r="I11" s="264"/>
      <c r="J11" s="264"/>
      <c r="K11" s="264"/>
      <c r="M11" s="263"/>
      <c r="N11" s="263"/>
      <c r="O11" s="275">
        <v>400</v>
      </c>
      <c r="P11" s="275"/>
      <c r="Q11" s="275"/>
      <c r="R11" s="276"/>
      <c r="S11" s="150">
        <v>130</v>
      </c>
    </row>
    <row r="12" spans="1:19" ht="24.95" customHeight="1" x14ac:dyDescent="0.15">
      <c r="A12" s="273"/>
      <c r="B12" s="274"/>
      <c r="C12" s="210" t="s">
        <v>114</v>
      </c>
      <c r="D12" s="268">
        <v>16500</v>
      </c>
      <c r="E12" s="268"/>
      <c r="F12" s="211" t="s">
        <v>96</v>
      </c>
      <c r="G12" s="190"/>
      <c r="H12" s="190"/>
      <c r="I12" s="190"/>
      <c r="J12" s="190"/>
      <c r="K12" s="190"/>
      <c r="M12" s="263"/>
      <c r="N12" s="263"/>
      <c r="O12" s="263"/>
      <c r="P12" s="263"/>
      <c r="Q12" s="263"/>
      <c r="R12" s="263"/>
      <c r="S12" s="150"/>
    </row>
    <row r="13" spans="1:19" ht="24.95" customHeight="1" x14ac:dyDescent="0.15">
      <c r="A13" s="273"/>
      <c r="B13" s="274"/>
      <c r="C13" s="207">
        <v>150</v>
      </c>
      <c r="D13" s="268">
        <v>63750</v>
      </c>
      <c r="E13" s="268"/>
      <c r="F13" s="201">
        <v>110</v>
      </c>
      <c r="G13" s="201">
        <v>125</v>
      </c>
      <c r="H13" s="201">
        <v>145</v>
      </c>
      <c r="I13" s="201">
        <v>170</v>
      </c>
      <c r="J13" s="201">
        <v>200</v>
      </c>
      <c r="K13" s="201">
        <v>240</v>
      </c>
    </row>
    <row r="14" spans="1:19" ht="24.95" customHeight="1" x14ac:dyDescent="0.15">
      <c r="A14" s="273"/>
      <c r="B14" s="190" t="s">
        <v>7</v>
      </c>
      <c r="C14" s="269" t="s">
        <v>5</v>
      </c>
      <c r="D14" s="269"/>
      <c r="E14" s="269"/>
      <c r="F14" s="270"/>
      <c r="G14" s="271"/>
      <c r="H14" s="271"/>
      <c r="I14" s="271"/>
      <c r="J14" s="271"/>
      <c r="K14" s="272"/>
      <c r="M14" s="110" t="s">
        <v>27</v>
      </c>
    </row>
    <row r="15" spans="1:19" ht="30" customHeight="1" x14ac:dyDescent="0.15">
      <c r="A15" s="205" t="s">
        <v>10</v>
      </c>
      <c r="B15" s="190" t="s">
        <v>9</v>
      </c>
      <c r="C15" s="269" t="s">
        <v>11</v>
      </c>
      <c r="D15" s="269"/>
      <c r="E15" s="269"/>
      <c r="F15" s="270"/>
      <c r="G15" s="271"/>
      <c r="H15" s="271"/>
      <c r="I15" s="271"/>
      <c r="J15" s="271"/>
      <c r="K15" s="272"/>
    </row>
    <row r="16" spans="1:19" ht="34.5" customHeight="1" x14ac:dyDescent="0.15">
      <c r="A16" s="205" t="s">
        <v>19</v>
      </c>
      <c r="B16" s="266" t="s">
        <v>20</v>
      </c>
      <c r="C16" s="266"/>
      <c r="D16" s="266"/>
      <c r="E16" s="266"/>
      <c r="F16" s="266"/>
      <c r="G16" s="266"/>
      <c r="H16" s="266"/>
      <c r="I16" s="266"/>
      <c r="J16" s="266"/>
      <c r="K16" s="266"/>
    </row>
    <row r="18" spans="1:8" x14ac:dyDescent="0.15">
      <c r="A18" s="265" t="s">
        <v>22</v>
      </c>
      <c r="B18" s="265"/>
      <c r="C18" s="265"/>
      <c r="D18" s="265"/>
      <c r="E18" s="265"/>
      <c r="F18" s="265"/>
      <c r="G18" s="265"/>
      <c r="H18" s="265"/>
    </row>
  </sheetData>
  <sheetProtection sheet="1" objects="1" scenarios="1"/>
  <protectedRanges>
    <protectedRange sqref="S6:S11" name="範囲2"/>
    <protectedRange sqref="O6:R6" name="範囲1"/>
  </protectedRanges>
  <mergeCells count="35">
    <mergeCell ref="A6:A14"/>
    <mergeCell ref="B6:B13"/>
    <mergeCell ref="D9:E9"/>
    <mergeCell ref="D10:E10"/>
    <mergeCell ref="A18:H18"/>
    <mergeCell ref="G6:G11"/>
    <mergeCell ref="H6:H11"/>
    <mergeCell ref="D12:E12"/>
    <mergeCell ref="O12:R12"/>
    <mergeCell ref="M7:M11"/>
    <mergeCell ref="N7:N11"/>
    <mergeCell ref="O11:R11"/>
    <mergeCell ref="O5:R5"/>
    <mergeCell ref="O6:R6"/>
    <mergeCell ref="Q7:R7"/>
    <mergeCell ref="Q8:R8"/>
    <mergeCell ref="Q9:R9"/>
    <mergeCell ref="Q10:R10"/>
    <mergeCell ref="M12:N12"/>
    <mergeCell ref="I6:I11"/>
    <mergeCell ref="J6:J11"/>
    <mergeCell ref="K6:K11"/>
    <mergeCell ref="N3:R3"/>
    <mergeCell ref="B16:K16"/>
    <mergeCell ref="C3:G3"/>
    <mergeCell ref="D13:E13"/>
    <mergeCell ref="C14:E14"/>
    <mergeCell ref="C15:E15"/>
    <mergeCell ref="F6:F11"/>
    <mergeCell ref="F14:K14"/>
    <mergeCell ref="F15:K15"/>
    <mergeCell ref="D5:E5"/>
    <mergeCell ref="E6:E8"/>
    <mergeCell ref="F5:K5"/>
    <mergeCell ref="D11:E11"/>
  </mergeCells>
  <phoneticPr fontId="2"/>
  <pageMargins left="0.44" right="0.41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戻る">
                <anchor moveWithCells="1" siz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</sheetPr>
  <dimension ref="A1:S38"/>
  <sheetViews>
    <sheetView workbookViewId="0">
      <selection activeCell="H4" sqref="H4"/>
    </sheetView>
  </sheetViews>
  <sheetFormatPr defaultRowHeight="21.95" customHeight="1" x14ac:dyDescent="0.15"/>
  <cols>
    <col min="1" max="1" width="6.625" style="8" customWidth="1"/>
    <col min="2" max="4" width="9" style="8"/>
    <col min="5" max="5" width="11.375" style="8" customWidth="1"/>
    <col min="6" max="6" width="9" style="8"/>
    <col min="7" max="7" width="10.125" style="8" bestFit="1" customWidth="1"/>
    <col min="8" max="8" width="9.125" style="8" bestFit="1" customWidth="1"/>
    <col min="9" max="10" width="9" style="8"/>
    <col min="11" max="11" width="6.625" style="8" customWidth="1"/>
    <col min="12" max="12" width="10.25" style="8" bestFit="1" customWidth="1"/>
    <col min="13" max="13" width="9" style="8"/>
    <col min="14" max="14" width="10.875" style="8" customWidth="1"/>
    <col min="15" max="15" width="10.125" style="8" bestFit="1" customWidth="1"/>
    <col min="16" max="16" width="10.625" style="8" customWidth="1"/>
    <col min="17" max="17" width="9.75" style="8" customWidth="1"/>
    <col min="18" max="18" width="10.125" style="8" bestFit="1" customWidth="1"/>
    <col min="19" max="19" width="14" style="8" customWidth="1"/>
    <col min="20" max="16384" width="9" style="8"/>
  </cols>
  <sheetData>
    <row r="1" spans="1:19" ht="21.9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7"/>
    </row>
    <row r="2" spans="1:19" ht="21.95" customHeight="1" x14ac:dyDescent="0.15">
      <c r="A2" s="9"/>
      <c r="B2" s="10"/>
      <c r="C2" s="286" t="s">
        <v>66</v>
      </c>
      <c r="D2" s="286"/>
      <c r="E2" s="286"/>
      <c r="F2" s="286"/>
      <c r="G2" s="286"/>
      <c r="H2" s="286"/>
      <c r="I2" s="10"/>
      <c r="J2" s="11"/>
      <c r="K2" s="12"/>
      <c r="L2" s="13"/>
      <c r="M2" s="287" t="s">
        <v>67</v>
      </c>
      <c r="N2" s="287"/>
      <c r="O2" s="287"/>
      <c r="P2" s="287"/>
      <c r="Q2" s="287"/>
      <c r="R2" s="287"/>
      <c r="S2" s="14"/>
    </row>
    <row r="3" spans="1:19" ht="21.9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  <c r="M3" s="13"/>
      <c r="N3" s="13"/>
      <c r="O3" s="13"/>
      <c r="P3" s="13"/>
      <c r="Q3" s="13"/>
      <c r="R3" s="13"/>
      <c r="S3" s="14"/>
    </row>
    <row r="4" spans="1:19" ht="21.95" customHeight="1" x14ac:dyDescent="0.15">
      <c r="A4" s="9"/>
      <c r="B4" s="294" t="str">
        <f>CONCATENATE("口径",連合専用条件入力画面!H8,"㎜　",連合専用条件入力画面!H10,"世帯　使用水量　",連合専用条件入力画面!H12,"㎥の場合")</f>
        <v>口径30㎜　10世帯　使用水量　400㎥の場合</v>
      </c>
      <c r="C4" s="294"/>
      <c r="D4" s="294"/>
      <c r="E4" s="294"/>
      <c r="F4" s="294"/>
      <c r="G4" s="10"/>
      <c r="H4" s="10"/>
      <c r="I4" s="10"/>
      <c r="J4" s="11"/>
      <c r="K4" s="12"/>
      <c r="L4" s="13" t="str">
        <f>CONCATENATE("口径　",上下水道料金計算!C49,"㎜　",上下水道料金計算!E3,"世帯　使用水量　",上下水道料金計算!H3,"㎥の場合")</f>
        <v>口径　40㎜　10世帯　使用水量　400㎥の場合</v>
      </c>
      <c r="M4" s="13"/>
      <c r="N4" s="13"/>
      <c r="O4" s="13"/>
      <c r="P4" s="13"/>
      <c r="Q4" s="13"/>
      <c r="R4" s="13"/>
      <c r="S4" s="14"/>
    </row>
    <row r="5" spans="1:19" ht="21.9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1"/>
      <c r="K5" s="12"/>
      <c r="L5" s="13"/>
      <c r="M5" s="13"/>
      <c r="N5" s="13"/>
      <c r="O5" s="13"/>
      <c r="P5" s="13"/>
      <c r="Q5" s="13"/>
      <c r="R5" s="13"/>
      <c r="S5" s="14"/>
    </row>
    <row r="6" spans="1:19" ht="21.95" customHeight="1" x14ac:dyDescent="0.15">
      <c r="A6" s="9"/>
      <c r="B6" s="294" t="str">
        <f>CONCATENATE("連合",上下水道料金計算!C3,"㎜の",連合専用条件入力画面!H10,"世帯の基本料金・水量")</f>
        <v>連合30㎜の10世帯の基本料金・水量</v>
      </c>
      <c r="C6" s="294"/>
      <c r="D6" s="294"/>
      <c r="E6" s="294"/>
      <c r="F6" s="10"/>
      <c r="G6" s="10"/>
      <c r="H6" s="10"/>
      <c r="I6" s="10"/>
      <c r="J6" s="11"/>
      <c r="K6" s="12"/>
      <c r="L6" s="13" t="s">
        <v>76</v>
      </c>
      <c r="M6" s="13"/>
      <c r="N6" s="13"/>
      <c r="O6" s="13"/>
      <c r="P6" s="13"/>
      <c r="Q6" s="13"/>
      <c r="R6" s="13"/>
      <c r="S6" s="14"/>
    </row>
    <row r="7" spans="1:19" ht="21.9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1"/>
      <c r="K7" s="12"/>
      <c r="L7" s="13"/>
      <c r="M7" s="13"/>
      <c r="N7" s="13"/>
      <c r="O7" s="13"/>
      <c r="P7" s="13"/>
      <c r="Q7" s="13"/>
      <c r="R7" s="13"/>
      <c r="S7" s="14"/>
    </row>
    <row r="8" spans="1:19" ht="21.95" customHeight="1" x14ac:dyDescent="0.15">
      <c r="A8" s="9"/>
      <c r="B8" s="295" t="str">
        <f>CONCATENATE("上下水道使用量計算　　",8,"㎥×",連合専用条件入力画面!H10,"世帯＝",8*連合専用条件入力画面!H10,"㎥")</f>
        <v>上下水道使用量計算　　8㎥×10世帯＝80㎥</v>
      </c>
      <c r="C8" s="282"/>
      <c r="D8" s="282"/>
      <c r="E8" s="296"/>
      <c r="F8" s="10"/>
      <c r="G8" s="10"/>
      <c r="H8" s="10"/>
      <c r="I8" s="10"/>
      <c r="J8" s="11"/>
      <c r="K8" s="12"/>
      <c r="L8" s="15" t="s">
        <v>77</v>
      </c>
      <c r="M8" s="15"/>
      <c r="N8" s="15"/>
      <c r="O8" s="15"/>
      <c r="P8" s="15"/>
      <c r="Q8" s="15"/>
      <c r="R8" s="16" t="s">
        <v>78</v>
      </c>
      <c r="S8" s="17" t="s">
        <v>79</v>
      </c>
    </row>
    <row r="9" spans="1:19" ht="21.9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1"/>
      <c r="K9" s="12"/>
      <c r="L9" s="13"/>
      <c r="M9" s="13"/>
      <c r="N9" s="13"/>
      <c r="O9" s="13"/>
      <c r="P9" s="13"/>
      <c r="Q9" s="13"/>
      <c r="R9" s="13"/>
      <c r="S9" s="18"/>
    </row>
    <row r="10" spans="1:19" ht="21.95" customHeight="1" x14ac:dyDescent="0.15">
      <c r="A10" s="9"/>
      <c r="B10" s="295" t="str">
        <f ca="1">CONCATENATE("上下水道使用料金計算　　",TEXT(上下水道料金計算!B8,"#,##0"),"円(税抜き)　×　",連合専用条件入力画面!H10,"世帯＝",TEXT(上下水道料金計算!F8,"#,##0"),"(税抜き)")</f>
        <v>上下水道使用料金計算　　2,180円(税抜き)　×　10世帯＝21,800(税抜き)</v>
      </c>
      <c r="C10" s="282"/>
      <c r="D10" s="282"/>
      <c r="E10" s="282"/>
      <c r="F10" s="282"/>
      <c r="G10" s="282"/>
      <c r="H10" s="296"/>
      <c r="I10" s="10"/>
      <c r="J10" s="11"/>
      <c r="K10" s="12"/>
      <c r="L10" s="15" t="str">
        <f ca="1">CONCATENATE("○基本料金は、",TEXT(上下水道料金計算!D52,"#,##0"),"円(税抜き)")</f>
        <v>○基本料金は、4,390円(税抜き)</v>
      </c>
      <c r="M10" s="15"/>
      <c r="N10" s="15"/>
      <c r="O10" s="15"/>
      <c r="P10" s="15"/>
      <c r="Q10" s="15"/>
      <c r="R10" s="19">
        <f ca="1">上下水道料金計算!D52</f>
        <v>4390</v>
      </c>
      <c r="S10" s="20">
        <v>8</v>
      </c>
    </row>
    <row r="11" spans="1:19" ht="21.95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3"/>
      <c r="M11" s="288" t="str">
        <f ca="1">CONCATENATE("※0㎥～8㎥までは、同額　",TEXT(R10,"#,##0"),"円(税抜き)")</f>
        <v>※0㎥～8㎥までは、同額　4,390円(税抜き)</v>
      </c>
      <c r="N11" s="288"/>
      <c r="O11" s="288"/>
      <c r="P11" s="288"/>
      <c r="Q11" s="288"/>
      <c r="R11" s="13"/>
      <c r="S11" s="21"/>
    </row>
    <row r="12" spans="1:19" ht="21.95" customHeight="1" x14ac:dyDescent="0.15">
      <c r="A12" s="9"/>
      <c r="B12" s="22" t="str">
        <f ca="1">CONCATENATE(連合専用条件入力画面!H10*8,"㎥までは、",TEXT(上下水道料金計算!B8*上下水道料金計算!D8,"#,##0"),"円")</f>
        <v>80㎥までは、21,800円</v>
      </c>
      <c r="C12" s="22"/>
      <c r="D12" s="23"/>
      <c r="E12" s="24" t="str">
        <f ca="1">CONCATENATE("※0㎥～",上下水道料金計算!F6,"㎥までは、同額",TEXT(上下水道料金計算!F8*1.08,"#,##0"),"円(税込額)")</f>
        <v>※0㎥～80㎥までは、同額23,544円(税込額)</v>
      </c>
      <c r="F12" s="23"/>
      <c r="G12" s="23"/>
      <c r="H12" s="23"/>
      <c r="I12" s="10"/>
      <c r="J12" s="11"/>
      <c r="K12" s="12"/>
      <c r="L12" s="13"/>
      <c r="M12" s="13"/>
      <c r="N12" s="13"/>
      <c r="O12" s="13"/>
      <c r="P12" s="13"/>
      <c r="Q12" s="13"/>
      <c r="R12" s="13"/>
      <c r="S12" s="21"/>
    </row>
    <row r="13" spans="1:19" ht="21.9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 t="s">
        <v>80</v>
      </c>
      <c r="M13" s="13"/>
      <c r="N13" s="13"/>
      <c r="O13" s="13"/>
      <c r="P13" s="13"/>
      <c r="Q13" s="13"/>
      <c r="R13" s="13"/>
      <c r="S13" s="21"/>
    </row>
    <row r="14" spans="1:19" ht="21.95" customHeight="1" x14ac:dyDescent="0.15">
      <c r="A14" s="9"/>
      <c r="B14" s="290" t="str">
        <f>CONCATENATE(上下水道料金計算!H3,"㎥－",上下水道料金計算!F6,"㎥＝",上下水道料金計算!H3-上下水道料金計算!F6,"㎥")</f>
        <v>400㎥－80㎥＝320㎥</v>
      </c>
      <c r="C14" s="290"/>
      <c r="D14" s="290"/>
      <c r="E14" s="297" t="str">
        <f>CONCATENATE("のこりの",上下水道料金計算!H3-上下水道料金計算!F6,"㎥は")</f>
        <v>のこりの320㎥は</v>
      </c>
      <c r="F14" s="297"/>
      <c r="G14" s="10"/>
      <c r="H14" s="10"/>
      <c r="I14" s="10"/>
      <c r="J14" s="11"/>
      <c r="K14" s="12"/>
      <c r="L14" s="289" t="str">
        <f>上下水道料金計算!A54</f>
        <v>8㎥を超え30㎥まで</v>
      </c>
      <c r="M14" s="289"/>
      <c r="N14" s="289"/>
      <c r="O14" s="289"/>
      <c r="P14" s="13"/>
      <c r="Q14" s="13"/>
      <c r="R14" s="25"/>
      <c r="S14" s="21"/>
    </row>
    <row r="15" spans="1:19" ht="21.95" customHeight="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302" t="str">
        <f>CONCATENATE(上下水道料金計算!B54,"㎥　×　",上下水道料金計算!D54,"円　＝　",TEXT(上下水道料金計算!F54,"#,##0"),"円(税抜き) ")</f>
        <v xml:space="preserve">22㎥　×　125円　＝　2,750円(税抜き) </v>
      </c>
      <c r="M15" s="302"/>
      <c r="N15" s="302"/>
      <c r="O15" s="302"/>
      <c r="P15" s="15"/>
      <c r="Q15" s="15"/>
      <c r="R15" s="19">
        <f>上下水道料金計算!F54</f>
        <v>2750</v>
      </c>
      <c r="S15" s="20">
        <f>上下水道料金計算!B54</f>
        <v>22</v>
      </c>
    </row>
    <row r="16" spans="1:19" ht="21.95" customHeight="1" x14ac:dyDescent="0.15">
      <c r="A16" s="9"/>
      <c r="B16" s="291" t="str">
        <f>CONCATENATE("通常の従量料金は、",8,"㎥を越え",30,"㎥までは １㎥につき",料金表!G13,"円なので")</f>
        <v>通常の従量料金は、8㎥を越え30㎥までは １㎥につき125円なので</v>
      </c>
      <c r="C16" s="292"/>
      <c r="D16" s="292"/>
      <c r="E16" s="292"/>
      <c r="F16" s="292"/>
      <c r="G16" s="292"/>
      <c r="H16" s="292"/>
      <c r="I16" s="293"/>
      <c r="J16" s="11"/>
      <c r="K16" s="12"/>
      <c r="L16" s="13"/>
      <c r="M16" s="13"/>
      <c r="N16" s="13"/>
      <c r="O16" s="13"/>
      <c r="P16" s="13"/>
      <c r="Q16" s="13"/>
      <c r="R16" s="25"/>
      <c r="S16" s="21"/>
    </row>
    <row r="17" spans="1:19" ht="21.95" customHeight="1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289" t="str">
        <f>上下水道料金計算!A55</f>
        <v>30㎥を超え50㎥まで</v>
      </c>
      <c r="M17" s="289"/>
      <c r="N17" s="289"/>
      <c r="O17" s="289"/>
      <c r="P17" s="13"/>
      <c r="Q17" s="13"/>
      <c r="R17" s="25"/>
      <c r="S17" s="21"/>
    </row>
    <row r="18" spans="1:19" ht="21.95" customHeight="1" x14ac:dyDescent="0.15">
      <c r="A18" s="9"/>
      <c r="B18" s="298" t="s">
        <v>68</v>
      </c>
      <c r="C18" s="299"/>
      <c r="D18" s="26" t="str">
        <f>CONCATENATE(上下水道料金計算!B6,"㎥","×",上下水道料金計算!D6,"世帯＝",上下水道料金計算!F6,"㎥までは基本水量")</f>
        <v>8㎥×10世帯＝80㎥までは基本水量</v>
      </c>
      <c r="E18" s="26"/>
      <c r="F18" s="27"/>
      <c r="G18" s="26"/>
      <c r="H18" s="26"/>
      <c r="I18" s="28"/>
      <c r="J18" s="11"/>
      <c r="K18" s="12"/>
      <c r="L18" s="302" t="str">
        <f>CONCATENATE(上下水道料金計算!B55,"㎥　×　",上下水道料金計算!D55,"円　＝　",TEXT(上下水道料金計算!F55,"#,##0"),"円(税抜き)")</f>
        <v>20㎥　×　145円　＝　2,900円(税抜き)</v>
      </c>
      <c r="M18" s="302"/>
      <c r="N18" s="302"/>
      <c r="O18" s="302"/>
      <c r="P18" s="15"/>
      <c r="Q18" s="15"/>
      <c r="R18" s="19">
        <f>上下水道料金計算!F55</f>
        <v>2900</v>
      </c>
      <c r="S18" s="20">
        <f>上下水道料金計算!B55</f>
        <v>20</v>
      </c>
    </row>
    <row r="19" spans="1:19" ht="21.95" customHeight="1" x14ac:dyDescent="0.15">
      <c r="A19" s="9"/>
      <c r="B19" s="300"/>
      <c r="C19" s="301"/>
      <c r="D19" s="23" t="str">
        <f>CONCATENATE(上下水道料金計算!F6,"㎥～","(","30㎥","×",上下水道料金計算!E3,"世帯＝",上下水道料金計算!C11*上下水道料金計算!E3,"㎥)までは１㎥につき",上下水道料金計算!C10,"円となります。")</f>
        <v>80㎥～(30㎥×10世帯＝300㎥)までは１㎥につき125円となります。</v>
      </c>
      <c r="E19" s="23"/>
      <c r="F19" s="23"/>
      <c r="G19" s="23"/>
      <c r="H19" s="23"/>
      <c r="I19" s="29"/>
      <c r="J19" s="11"/>
      <c r="K19" s="12"/>
      <c r="L19" s="13"/>
      <c r="M19" s="13"/>
      <c r="N19" s="13"/>
      <c r="O19" s="13"/>
      <c r="P19" s="13"/>
      <c r="Q19" s="13"/>
      <c r="R19" s="25"/>
      <c r="S19" s="21"/>
    </row>
    <row r="20" spans="1:19" ht="21.95" customHeight="1" x14ac:dyDescent="0.15">
      <c r="A20" s="9"/>
      <c r="B20" s="30" t="str">
        <f>CONCATENATE(上下水道料金計算!C11*上下水道料金計算!E3,"㎥までは、１㎥につき",上下水道料金計算!C10,"円の計算となります。")</f>
        <v>300㎥までは、１㎥につき125円の計算となります。</v>
      </c>
      <c r="C20" s="30"/>
      <c r="D20" s="30"/>
      <c r="E20" s="30"/>
      <c r="F20" s="30"/>
      <c r="G20" s="10"/>
      <c r="H20" s="10"/>
      <c r="I20" s="10"/>
      <c r="J20" s="11"/>
      <c r="K20" s="12"/>
      <c r="L20" s="289" t="str">
        <f>上下水道料金計算!A56</f>
        <v>50㎥を超え100㎥まで</v>
      </c>
      <c r="M20" s="289"/>
      <c r="N20" s="289"/>
      <c r="O20" s="289"/>
      <c r="P20" s="13"/>
      <c r="Q20" s="13"/>
      <c r="R20" s="25"/>
      <c r="S20" s="21"/>
    </row>
    <row r="21" spans="1:19" ht="21.95" customHeight="1" x14ac:dyDescent="0.15">
      <c r="A21" s="9"/>
      <c r="B21" s="31"/>
      <c r="C21" s="31"/>
      <c r="D21" s="31"/>
      <c r="E21" s="31"/>
      <c r="F21" s="31"/>
      <c r="G21" s="10"/>
      <c r="H21" s="10"/>
      <c r="I21" s="10"/>
      <c r="J21" s="11"/>
      <c r="K21" s="12"/>
      <c r="L21" s="302" t="str">
        <f>CONCATENATE(上下水道料金計算!B56,"㎥ ×　",上下水道料金計算!D56,"円"," ＝ ",TEXT(上下水道料金計算!F56,"#,##0"),"円(税抜き)")</f>
        <v>50㎥ ×　170円 ＝ 8,500円(税抜き)</v>
      </c>
      <c r="M21" s="302"/>
      <c r="N21" s="302"/>
      <c r="O21" s="302"/>
      <c r="P21" s="15"/>
      <c r="Q21" s="15"/>
      <c r="R21" s="19">
        <f>上下水道料金計算!F56</f>
        <v>8500</v>
      </c>
      <c r="S21" s="20">
        <f>上下水道料金計算!B56</f>
        <v>50</v>
      </c>
    </row>
    <row r="22" spans="1:19" ht="21.95" customHeight="1" x14ac:dyDescent="0.15">
      <c r="A22" s="9"/>
      <c r="B22" s="10" t="s">
        <v>69</v>
      </c>
      <c r="C22" s="10"/>
      <c r="D22" s="10"/>
      <c r="E22" s="10"/>
      <c r="F22" s="10"/>
      <c r="G22" s="32" t="s">
        <v>71</v>
      </c>
      <c r="H22" s="32" t="s">
        <v>72</v>
      </c>
      <c r="I22" s="10"/>
      <c r="J22" s="11"/>
      <c r="K22" s="12"/>
      <c r="L22" s="13"/>
      <c r="M22" s="13"/>
      <c r="N22" s="13"/>
      <c r="O22" s="13"/>
      <c r="P22" s="13"/>
      <c r="Q22" s="13"/>
      <c r="R22" s="25"/>
      <c r="S22" s="21"/>
    </row>
    <row r="23" spans="1:19" ht="21.95" customHeight="1" x14ac:dyDescent="0.15">
      <c r="A23" s="9"/>
      <c r="B23" s="23" t="str">
        <f ca="1">CONCATENATE("基本料金　＝","基本水量(",上下水道料金計算!F6,"㎥)までは",TEXT(上下水道料金計算!F8,"#,##0"),"円(税抜き)")</f>
        <v>基本料金　＝基本水量(80㎥)までは21,800円(税抜き)</v>
      </c>
      <c r="C23" s="23"/>
      <c r="D23" s="23"/>
      <c r="E23" s="23"/>
      <c r="F23" s="23"/>
      <c r="G23" s="33">
        <f ca="1">上下水道料金計算!F8</f>
        <v>21800</v>
      </c>
      <c r="H23" s="34">
        <f>上下水道料金計算!F6</f>
        <v>80</v>
      </c>
      <c r="I23" s="23"/>
      <c r="J23" s="11"/>
      <c r="K23" s="12"/>
      <c r="L23" s="289" t="str">
        <f>上下水道料金計算!A57</f>
        <v>100㎥を超え400㎥まで</v>
      </c>
      <c r="M23" s="289"/>
      <c r="N23" s="289"/>
      <c r="O23" s="289"/>
      <c r="P23" s="13"/>
      <c r="Q23" s="13"/>
      <c r="R23" s="25"/>
      <c r="S23" s="21"/>
    </row>
    <row r="24" spans="1:19" ht="21.95" customHeight="1" x14ac:dyDescent="0.15">
      <c r="A24" s="9"/>
      <c r="B24" s="282" t="str">
        <f>CONCATENATE(上下水道料金計算!F6,"㎥を越える分＝",上下水道料金計算!B31,"㎥　×　",上下水道料金計算!D31,"円　＝")</f>
        <v>80㎥を越える分＝220㎥　×　125円　＝</v>
      </c>
      <c r="C24" s="282"/>
      <c r="D24" s="282"/>
      <c r="E24" s="282"/>
      <c r="F24" s="35"/>
      <c r="G24" s="36">
        <f>IF(上下水道料金計算!B31="","",上下水道料金計算!B31*上下水道料金計算!D31)</f>
        <v>27500</v>
      </c>
      <c r="H24" s="37">
        <f>上下水道料金計算!B31</f>
        <v>220</v>
      </c>
      <c r="I24" s="35"/>
      <c r="J24" s="11"/>
      <c r="K24" s="12"/>
      <c r="L24" s="302" t="str">
        <f>CONCATENATE(上下水道料金計算!B57,"㎥　×　",上下水道料金計算!D57,"円　＝　",TEXT(上下水道料金計算!F57,"#,##0"),"円(税抜き)")</f>
        <v>300㎥　×　200円　＝　60,000円(税抜き)</v>
      </c>
      <c r="M24" s="302"/>
      <c r="N24" s="302"/>
      <c r="O24" s="302"/>
      <c r="P24" s="15"/>
      <c r="Q24" s="15"/>
      <c r="R24" s="19">
        <f>上下水道料金計算!F57</f>
        <v>60000</v>
      </c>
      <c r="S24" s="20">
        <f>上下水道料金計算!B57</f>
        <v>300</v>
      </c>
    </row>
    <row r="25" spans="1:19" ht="21.95" customHeight="1" x14ac:dyDescent="0.15">
      <c r="A25" s="9"/>
      <c r="B25" s="282" t="str">
        <f>IF(上下水道料金計算!B32="","",CONCATENATE(上下水道料金計算!G11,"㎥を越える分＝",上下水道料金計算!B32,"㎥　×　",上下水道料金計算!D32,"円　＝"))</f>
        <v>300㎥を越える分＝100㎥　×　145円　＝</v>
      </c>
      <c r="C25" s="282"/>
      <c r="D25" s="282"/>
      <c r="E25" s="282"/>
      <c r="F25" s="31"/>
      <c r="G25" s="38">
        <f>IF(上下水道料金計算!F32&lt;=0,"",上下水道料金計算!F32)</f>
        <v>14500</v>
      </c>
      <c r="H25" s="37">
        <f>IF(上下水道料金計算!B32="","",上下水道料金計算!B32)</f>
        <v>100</v>
      </c>
      <c r="I25" s="35"/>
      <c r="J25" s="11"/>
      <c r="K25" s="12"/>
      <c r="L25" s="53"/>
      <c r="M25" s="53"/>
      <c r="N25" s="53"/>
      <c r="O25" s="53"/>
      <c r="P25" s="53"/>
      <c r="Q25" s="53"/>
      <c r="R25" s="54"/>
      <c r="S25" s="55"/>
    </row>
    <row r="26" spans="1:19" ht="21.95" customHeight="1" x14ac:dyDescent="0.15">
      <c r="A26" s="9"/>
      <c r="B26" s="282" t="str">
        <f>IF(上下水道料金計算!B33="","",CONCATENATE(上下水道料金計算!G14,"㎥を越える分＝",上下水道料金計算!B33,"㎥　×　",上下水道料金計算!D33,"円＝"))</f>
        <v/>
      </c>
      <c r="C26" s="282"/>
      <c r="D26" s="282"/>
      <c r="E26" s="282"/>
      <c r="F26" s="35"/>
      <c r="G26" s="36" t="str">
        <f>IF(上下水道料金計算!F33="","",上下水道料金計算!F33)</f>
        <v/>
      </c>
      <c r="H26" s="37" t="str">
        <f>IF(上下水道料金計算!B34="","",上下水道料金計算!B33)</f>
        <v/>
      </c>
      <c r="I26" s="35"/>
      <c r="J26" s="11"/>
      <c r="K26" s="12"/>
      <c r="L26" s="58" t="str">
        <f>IF(上下水道料金計算!C49&lt;=25,"","0㎥を超え8㎥まで　口径30㎜以上に従量料金の適用")</f>
        <v>0㎥を超え8㎥まで　口径30㎜以上に従量料金の適用</v>
      </c>
      <c r="M26" s="58"/>
      <c r="N26" s="58"/>
      <c r="O26" s="58"/>
      <c r="P26" s="58"/>
      <c r="Q26" s="13"/>
      <c r="R26" s="25"/>
      <c r="S26" s="39"/>
    </row>
    <row r="27" spans="1:19" ht="21.95" customHeight="1" x14ac:dyDescent="0.15">
      <c r="A27" s="9"/>
      <c r="B27" s="282" t="str">
        <f>IF(上下水道料金計算!B34="","",CONCATENATE(上下水道料金計算!G17,"㎥を越える分＝",上下水道料金計算!B34,"㎥　×　",上下水道料金計算!D34,"円＝"))</f>
        <v/>
      </c>
      <c r="C27" s="282"/>
      <c r="D27" s="282"/>
      <c r="E27" s="282"/>
      <c r="F27" s="27"/>
      <c r="G27" s="36" t="str">
        <f>IF(上下水道料金計算!F34="","",上下水道料金計算!F34)</f>
        <v/>
      </c>
      <c r="H27" s="37" t="str">
        <f>IF(上下水道料金計算!B34="","",上下水道料金計算!B34)</f>
        <v/>
      </c>
      <c r="I27" s="27"/>
      <c r="J27" s="11"/>
      <c r="K27" s="12"/>
      <c r="L27" s="102"/>
      <c r="M27" s="102"/>
      <c r="N27" s="102"/>
      <c r="O27" s="102"/>
      <c r="P27" s="102"/>
      <c r="Q27" s="13"/>
      <c r="R27" s="25"/>
      <c r="S27" s="39"/>
    </row>
    <row r="28" spans="1:19" ht="21.95" customHeight="1" x14ac:dyDescent="0.15">
      <c r="A28" s="9"/>
      <c r="B28" s="285" t="str">
        <f>IF(上下水道料金計算!C3&lt;=25,"",CONCATENATE("0㎥を超え",上下水道料金計算!F6,"㎥まで口径30㎜以上に従量料金の適用"))</f>
        <v>0㎥を超え80㎥まで口径30㎜以上に従量料金の適用</v>
      </c>
      <c r="C28" s="285"/>
      <c r="D28" s="285"/>
      <c r="E28" s="285"/>
      <c r="F28" s="285"/>
      <c r="G28" s="28"/>
      <c r="H28" s="52"/>
      <c r="I28" s="27"/>
      <c r="J28" s="11"/>
      <c r="K28" s="12"/>
      <c r="L28" s="302" t="str">
        <f>IF(上下水道料金計算!C49&lt;=25,"",CONCATENATE(上下水道料金計算!B59,"㎥　×　",上下水道料金計算!D59,"円　＝"))</f>
        <v>8㎥　×　110円　＝</v>
      </c>
      <c r="M28" s="302"/>
      <c r="N28" s="302"/>
      <c r="O28" s="302"/>
      <c r="P28" s="15"/>
      <c r="Q28" s="15"/>
      <c r="R28" s="56">
        <f>IF(L28="","",上下水道料金計算!F59)</f>
        <v>880</v>
      </c>
      <c r="S28" s="17" t="str">
        <f>IF(R28="","","水量8㎥")</f>
        <v>水量8㎥</v>
      </c>
    </row>
    <row r="29" spans="1:19" ht="21.95" customHeight="1" x14ac:dyDescent="0.15">
      <c r="A29" s="9"/>
      <c r="B29" s="283" t="str">
        <f>IF(上下水道料金計算!C3&lt;=25,"",CONCATENATE(上下水道料金計算!B36,"㎥　×　",料金表!F13,"円　＝"))</f>
        <v>80㎥　×　110円　＝</v>
      </c>
      <c r="C29" s="283"/>
      <c r="D29" s="283"/>
      <c r="E29" s="283"/>
      <c r="F29" s="23"/>
      <c r="G29" s="57">
        <f>IF(B29="","",上下水道料金計算!F36)</f>
        <v>8800</v>
      </c>
      <c r="H29" s="59">
        <f>IF(G29="","",H23)</f>
        <v>80</v>
      </c>
      <c r="I29" s="23"/>
      <c r="J29" s="11"/>
      <c r="K29" s="12"/>
      <c r="L29" s="13"/>
      <c r="M29" s="13"/>
      <c r="N29" s="13"/>
      <c r="O29" s="13"/>
      <c r="P29" s="13"/>
      <c r="Q29" s="13" t="s">
        <v>81</v>
      </c>
      <c r="R29" s="25">
        <f ca="1">SUM(R10:R28)</f>
        <v>79420</v>
      </c>
      <c r="S29" s="40">
        <f>SUM(S10:S24)</f>
        <v>400</v>
      </c>
    </row>
    <row r="30" spans="1:19" ht="21.95" customHeight="1" x14ac:dyDescent="0.15">
      <c r="A30" s="9"/>
      <c r="B30" s="31"/>
      <c r="C30" s="31"/>
      <c r="D30" s="31"/>
      <c r="E30" s="31"/>
      <c r="F30" s="32" t="s">
        <v>73</v>
      </c>
      <c r="G30" s="41">
        <f ca="1">SUM(G23:G29)</f>
        <v>72600</v>
      </c>
      <c r="H30" s="42">
        <f>SUM(H23:H27)</f>
        <v>400</v>
      </c>
      <c r="I30" s="10"/>
      <c r="J30" s="11"/>
      <c r="K30" s="12"/>
      <c r="L30" s="13"/>
      <c r="M30" s="13"/>
      <c r="N30" s="13"/>
      <c r="O30" s="13"/>
      <c r="P30" s="13"/>
      <c r="Q30" s="13"/>
      <c r="R30" s="13"/>
      <c r="S30" s="14"/>
    </row>
    <row r="31" spans="1:19" ht="21.95" customHeight="1" x14ac:dyDescent="0.15">
      <c r="A31" s="9"/>
      <c r="B31" s="31"/>
      <c r="C31" s="31"/>
      <c r="D31" s="31"/>
      <c r="E31" s="31"/>
      <c r="F31" s="10"/>
      <c r="G31" s="10"/>
      <c r="H31" s="10"/>
      <c r="I31" s="10"/>
      <c r="J31" s="11"/>
      <c r="K31" s="12"/>
      <c r="L31" s="13"/>
      <c r="M31" s="13"/>
      <c r="N31" s="13"/>
      <c r="O31" s="13"/>
      <c r="P31" s="13"/>
      <c r="Q31" s="13"/>
      <c r="R31" s="13"/>
      <c r="S31" s="14"/>
    </row>
    <row r="32" spans="1:19" ht="21.95" customHeight="1" x14ac:dyDescent="0.15">
      <c r="A32" s="9"/>
      <c r="B32" s="31"/>
      <c r="C32" s="31"/>
      <c r="D32" s="31"/>
      <c r="E32" s="31"/>
      <c r="F32" s="10"/>
      <c r="G32" s="10"/>
      <c r="H32" s="10"/>
      <c r="I32" s="10"/>
      <c r="J32" s="11"/>
      <c r="K32" s="12"/>
      <c r="L32" s="13"/>
      <c r="M32" s="13"/>
      <c r="N32" s="13"/>
      <c r="O32" s="13"/>
      <c r="P32" s="13"/>
      <c r="Q32" s="13"/>
      <c r="R32" s="13"/>
      <c r="S32" s="14"/>
    </row>
    <row r="33" spans="1:19" ht="21.95" customHeight="1" x14ac:dyDescent="0.15">
      <c r="A33" s="9"/>
      <c r="B33" s="31"/>
      <c r="C33" s="31"/>
      <c r="D33" s="31"/>
      <c r="E33" s="31"/>
      <c r="F33" s="10"/>
      <c r="G33" s="10"/>
      <c r="H33" s="10"/>
      <c r="I33" s="10"/>
      <c r="J33" s="11"/>
      <c r="K33" s="12"/>
      <c r="L33" s="13"/>
      <c r="M33" s="13"/>
      <c r="N33" s="13"/>
      <c r="O33" s="13"/>
      <c r="P33" s="13"/>
      <c r="Q33" s="13"/>
      <c r="R33" s="13"/>
      <c r="S33" s="14"/>
    </row>
    <row r="34" spans="1:19" ht="21.95" customHeight="1" x14ac:dyDescent="0.15">
      <c r="A34" s="9"/>
      <c r="B34" s="10" t="str">
        <f ca="1">CONCATENATE(TEXT(G30,"#,##0"),"円　×　1.08　＝",TEXT((G30*1.08),"#,##0.0"),"円")</f>
        <v>72,600円　×　1.08　＝78,408.0円</v>
      </c>
      <c r="C34" s="10"/>
      <c r="D34" s="10"/>
      <c r="E34" s="10"/>
      <c r="F34" s="10"/>
      <c r="G34" s="10"/>
      <c r="H34" s="10"/>
      <c r="I34" s="10"/>
      <c r="J34" s="11"/>
      <c r="K34" s="12"/>
      <c r="L34" s="13" t="str">
        <f ca="1">CONCATENATE(TEXT(R29,"#,##0"),"円　×　1.08　＝",TEXT(R29*1.08,"#,##0.0"),"円")</f>
        <v>79,420円　×　1.08　＝85,773.6円</v>
      </c>
      <c r="M34" s="13"/>
      <c r="N34" s="13"/>
      <c r="O34" s="13"/>
      <c r="P34" s="13"/>
      <c r="Q34" s="13"/>
      <c r="R34" s="13"/>
      <c r="S34" s="14"/>
    </row>
    <row r="35" spans="1:19" ht="21.95" customHeight="1" x14ac:dyDescent="0.15">
      <c r="A35" s="9"/>
      <c r="B35" s="10" t="s">
        <v>74</v>
      </c>
      <c r="C35" s="10"/>
      <c r="D35" s="10"/>
      <c r="E35" s="41">
        <f ca="1">ROUNDDOWN(G30*1.08,0)</f>
        <v>78408</v>
      </c>
      <c r="F35" s="10"/>
      <c r="G35" s="10"/>
      <c r="H35" s="10"/>
      <c r="I35" s="10"/>
      <c r="J35" s="11"/>
      <c r="K35" s="12"/>
      <c r="L35" s="289" t="s">
        <v>82</v>
      </c>
      <c r="M35" s="289"/>
      <c r="N35" s="289"/>
      <c r="O35" s="25">
        <f ca="1">ROUNDDOWN(R29*1.08,0)</f>
        <v>85773</v>
      </c>
      <c r="P35" s="13"/>
      <c r="Q35" s="13"/>
      <c r="R35" s="13"/>
      <c r="S35" s="14"/>
    </row>
    <row r="36" spans="1:19" ht="21.95" customHeight="1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1"/>
      <c r="K36" s="12"/>
      <c r="L36" s="13"/>
      <c r="M36" s="13"/>
      <c r="N36" s="13"/>
      <c r="O36" s="13"/>
      <c r="P36" s="13"/>
      <c r="Q36" s="13"/>
      <c r="R36" s="13"/>
      <c r="S36" s="14"/>
    </row>
    <row r="37" spans="1:19" ht="21.95" customHeight="1" x14ac:dyDescent="0.15">
      <c r="A37" s="9"/>
      <c r="B37" s="284" t="str">
        <f>CONCATENATE("口径　",上下水道料金計算!C3,"㎜　",上下水道料金計算!E3,"世帯　",上下水道料金計算!H3,"㎥の使用水量料金は")</f>
        <v>口径　30㎜　10世帯　400㎥の使用水量料金は</v>
      </c>
      <c r="C37" s="284"/>
      <c r="D37" s="284"/>
      <c r="E37" s="284"/>
      <c r="F37" s="284"/>
      <c r="G37" s="43">
        <f ca="1">E35</f>
        <v>78408</v>
      </c>
      <c r="H37" s="44" t="s">
        <v>75</v>
      </c>
      <c r="I37" s="10"/>
      <c r="J37" s="11"/>
      <c r="K37" s="12"/>
      <c r="L37" s="13" t="str">
        <f>CONCATENATE("口径",上下水道料金計算!C49,"㎜　",上下水道料金計算!H49,"㎥の使用水量料金は")</f>
        <v>口径40㎜　400㎥の使用水量料金は</v>
      </c>
      <c r="M37" s="13"/>
      <c r="N37" s="13"/>
      <c r="O37" s="13"/>
      <c r="P37" s="45">
        <f ca="1">O35</f>
        <v>85773</v>
      </c>
      <c r="Q37" s="13" t="s">
        <v>83</v>
      </c>
      <c r="R37" s="13"/>
      <c r="S37" s="14"/>
    </row>
    <row r="38" spans="1:19" ht="21.95" customHeight="1" thickBo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8"/>
      <c r="K38" s="49"/>
      <c r="L38" s="50"/>
      <c r="M38" s="50"/>
      <c r="N38" s="50"/>
      <c r="O38" s="50"/>
      <c r="P38" s="50"/>
      <c r="Q38" s="50"/>
      <c r="R38" s="50"/>
      <c r="S38" s="51"/>
    </row>
  </sheetData>
  <sheetProtection sheet="1" objects="1" scenarios="1"/>
  <mergeCells count="28">
    <mergeCell ref="L28:O28"/>
    <mergeCell ref="L14:O14"/>
    <mergeCell ref="L15:O15"/>
    <mergeCell ref="L17:O17"/>
    <mergeCell ref="L18:O18"/>
    <mergeCell ref="L20:O20"/>
    <mergeCell ref="C2:H2"/>
    <mergeCell ref="M2:R2"/>
    <mergeCell ref="M11:Q11"/>
    <mergeCell ref="L35:N35"/>
    <mergeCell ref="B14:D14"/>
    <mergeCell ref="B16:I16"/>
    <mergeCell ref="B4:F4"/>
    <mergeCell ref="B6:E6"/>
    <mergeCell ref="B8:E8"/>
    <mergeCell ref="B10:H10"/>
    <mergeCell ref="E14:F14"/>
    <mergeCell ref="B18:C19"/>
    <mergeCell ref="B24:E24"/>
    <mergeCell ref="L21:O21"/>
    <mergeCell ref="L23:O23"/>
    <mergeCell ref="L24:O24"/>
    <mergeCell ref="B25:E25"/>
    <mergeCell ref="B26:E26"/>
    <mergeCell ref="B29:E29"/>
    <mergeCell ref="B37:F37"/>
    <mergeCell ref="B28:F28"/>
    <mergeCell ref="B27:E27"/>
  </mergeCells>
  <phoneticPr fontId="2"/>
  <pageMargins left="0.7" right="0.4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戻る">
                <anchor moveWithCells="1" sizeWithCells="1">
                  <from>
                    <xdr:col>9</xdr:col>
                    <xdr:colOff>0</xdr:colOff>
                    <xdr:row>1</xdr:row>
                    <xdr:rowOff>19050</xdr:rowOff>
                  </from>
                  <to>
                    <xdr:col>10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</sheetPr>
  <dimension ref="A1:S38"/>
  <sheetViews>
    <sheetView workbookViewId="0">
      <selection activeCell="D19" sqref="D19"/>
    </sheetView>
  </sheetViews>
  <sheetFormatPr defaultRowHeight="21.95" customHeight="1" x14ac:dyDescent="0.15"/>
  <cols>
    <col min="1" max="1" width="6.625" style="8" customWidth="1"/>
    <col min="2" max="4" width="9" style="8"/>
    <col min="5" max="5" width="14.625" style="8" customWidth="1"/>
    <col min="6" max="6" width="9" style="8"/>
    <col min="7" max="7" width="11.75" style="8" customWidth="1"/>
    <col min="8" max="8" width="9.125" style="8" bestFit="1" customWidth="1"/>
    <col min="9" max="9" width="9" style="8"/>
    <col min="10" max="10" width="4.625" style="8" customWidth="1"/>
    <col min="11" max="11" width="6.625" style="8" customWidth="1"/>
    <col min="12" max="12" width="10.25" style="8" bestFit="1" customWidth="1"/>
    <col min="13" max="13" width="9" style="8"/>
    <col min="14" max="14" width="10.875" style="8" customWidth="1"/>
    <col min="15" max="15" width="10.125" style="8" bestFit="1" customWidth="1"/>
    <col min="16" max="16" width="10.625" style="8" customWidth="1"/>
    <col min="17" max="17" width="9.75" style="8" customWidth="1"/>
    <col min="18" max="18" width="11.125" style="8" bestFit="1" customWidth="1"/>
    <col min="19" max="19" width="14" style="8" customWidth="1"/>
    <col min="20" max="16384" width="9" style="8"/>
  </cols>
  <sheetData>
    <row r="1" spans="1:19" ht="21.9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7"/>
    </row>
    <row r="2" spans="1:19" ht="21.95" customHeight="1" x14ac:dyDescent="0.15">
      <c r="A2" s="9"/>
      <c r="B2" s="10"/>
      <c r="C2" s="286" t="s">
        <v>106</v>
      </c>
      <c r="D2" s="286"/>
      <c r="E2" s="286"/>
      <c r="F2" s="286"/>
      <c r="G2" s="286"/>
      <c r="H2" s="286"/>
      <c r="I2" s="10"/>
      <c r="J2" s="11"/>
      <c r="K2" s="12"/>
      <c r="L2" s="13"/>
      <c r="M2" s="287" t="s">
        <v>107</v>
      </c>
      <c r="N2" s="287"/>
      <c r="O2" s="287"/>
      <c r="P2" s="287"/>
      <c r="Q2" s="287"/>
      <c r="R2" s="287"/>
      <c r="S2" s="14"/>
    </row>
    <row r="3" spans="1:19" ht="21.9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  <c r="M3" s="13"/>
      <c r="N3" s="13"/>
      <c r="O3" s="13"/>
      <c r="P3" s="13"/>
      <c r="Q3" s="13"/>
      <c r="R3" s="13"/>
      <c r="S3" s="14"/>
    </row>
    <row r="4" spans="1:19" ht="21.95" customHeight="1" x14ac:dyDescent="0.15">
      <c r="A4" s="9"/>
      <c r="B4" s="294" t="str">
        <f>CONCATENATE(連合専用条件入力画面!H10,"世帯　使用水量　",連合専用条件入力画面!H12,"㎥の場合")</f>
        <v>10世帯　使用水量　400㎥の場合</v>
      </c>
      <c r="C4" s="294"/>
      <c r="D4" s="294"/>
      <c r="E4" s="294"/>
      <c r="F4" s="294"/>
      <c r="G4" s="10"/>
      <c r="H4" s="10"/>
      <c r="I4" s="10"/>
      <c r="J4" s="11"/>
      <c r="K4" s="12"/>
      <c r="L4" s="13" t="str">
        <f>CONCATENATE(上下水道料金計算!E3,"世帯　使用水量　",上下水道料金計算!H3,"㎥の場合")</f>
        <v>10世帯　使用水量　400㎥の場合</v>
      </c>
      <c r="M4" s="13"/>
      <c r="N4" s="13"/>
      <c r="O4" s="13"/>
      <c r="P4" s="13"/>
      <c r="Q4" s="13"/>
      <c r="R4" s="13"/>
      <c r="S4" s="14"/>
    </row>
    <row r="5" spans="1:19" ht="21.9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1"/>
      <c r="K5" s="12"/>
      <c r="L5" s="13"/>
      <c r="M5" s="13"/>
      <c r="N5" s="13"/>
      <c r="O5" s="13"/>
      <c r="P5" s="13"/>
      <c r="Q5" s="13"/>
      <c r="R5" s="13"/>
      <c r="S5" s="14"/>
    </row>
    <row r="6" spans="1:19" ht="21.95" customHeight="1" x14ac:dyDescent="0.15">
      <c r="A6" s="9"/>
      <c r="B6" s="294" t="str">
        <f>CONCATENATE(連合専用条件入力画面!H10,"世帯の基本料金・水量")</f>
        <v>10世帯の基本料金・水量</v>
      </c>
      <c r="C6" s="294"/>
      <c r="D6" s="294"/>
      <c r="E6" s="294"/>
      <c r="F6" s="10"/>
      <c r="G6" s="10"/>
      <c r="H6" s="10"/>
      <c r="I6" s="10"/>
      <c r="J6" s="11"/>
      <c r="K6" s="12"/>
      <c r="L6" s="13" t="s">
        <v>76</v>
      </c>
      <c r="M6" s="13"/>
      <c r="N6" s="13"/>
      <c r="O6" s="13"/>
      <c r="P6" s="13"/>
      <c r="Q6" s="13"/>
      <c r="R6" s="13"/>
      <c r="S6" s="14"/>
    </row>
    <row r="7" spans="1:19" ht="21.9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1"/>
      <c r="K7" s="12"/>
      <c r="L7" s="13"/>
      <c r="M7" s="13"/>
      <c r="N7" s="13"/>
      <c r="O7" s="13"/>
      <c r="P7" s="13"/>
      <c r="Q7" s="13"/>
      <c r="R7" s="13"/>
      <c r="S7" s="14"/>
    </row>
    <row r="8" spans="1:19" ht="21.95" customHeight="1" x14ac:dyDescent="0.15">
      <c r="A8" s="9"/>
      <c r="B8" s="295" t="str">
        <f>CONCATENATE("下水道使用量計算　　",8,"㎥×",連合専用条件入力画面!H10,"世帯＝",8*連合専用条件入力画面!H10,"㎥")</f>
        <v>下水道使用量計算　　8㎥×10世帯＝80㎥</v>
      </c>
      <c r="C8" s="282"/>
      <c r="D8" s="282"/>
      <c r="E8" s="282"/>
      <c r="F8" s="296"/>
      <c r="G8" s="10"/>
      <c r="H8" s="10"/>
      <c r="I8" s="10"/>
      <c r="J8" s="11"/>
      <c r="K8" s="12"/>
      <c r="L8" s="15" t="s">
        <v>108</v>
      </c>
      <c r="M8" s="15"/>
      <c r="N8" s="15"/>
      <c r="O8" s="15"/>
      <c r="P8" s="15"/>
      <c r="Q8" s="15"/>
      <c r="R8" s="16" t="s">
        <v>78</v>
      </c>
      <c r="S8" s="17" t="s">
        <v>79</v>
      </c>
    </row>
    <row r="9" spans="1:19" ht="21.9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1"/>
      <c r="K9" s="12"/>
      <c r="L9" s="13"/>
      <c r="M9" s="13"/>
      <c r="N9" s="13"/>
      <c r="O9" s="13"/>
      <c r="P9" s="13"/>
      <c r="Q9" s="13"/>
      <c r="R9" s="13"/>
      <c r="S9" s="18"/>
    </row>
    <row r="10" spans="1:19" ht="21.95" customHeight="1" x14ac:dyDescent="0.15">
      <c r="A10" s="9"/>
      <c r="B10" s="295" t="str">
        <f>CONCATENATE("下水道使用料金計算　　",TEXT(料金表!S6,"#,##0"),"円(税抜き)　×　",連合専用条件入力画面!H10,"世帯＝",TEXT(上下水道料金計算!F101,"#,##0"),"(税抜き)")</f>
        <v>下水道使用料金計算　　700円(税抜き)　×　10世帯＝7,000(税抜き)</v>
      </c>
      <c r="C10" s="282"/>
      <c r="D10" s="282"/>
      <c r="E10" s="282"/>
      <c r="F10" s="282"/>
      <c r="G10" s="282"/>
      <c r="H10" s="296"/>
      <c r="I10" s="10"/>
      <c r="J10" s="11"/>
      <c r="K10" s="12"/>
      <c r="L10" s="15" t="str">
        <f>CONCATENATE("○基本料金は、",TEXT(料金表!S6,"#,##0"),"円(税抜き)")</f>
        <v>○基本料金は、700円(税抜き)</v>
      </c>
      <c r="M10" s="15"/>
      <c r="N10" s="15"/>
      <c r="O10" s="15"/>
      <c r="P10" s="15"/>
      <c r="Q10" s="15"/>
      <c r="R10" s="19">
        <f>上下水道料金計算!F122</f>
        <v>700</v>
      </c>
      <c r="S10" s="20">
        <f>上下水道料金計算!B74</f>
        <v>8</v>
      </c>
    </row>
    <row r="11" spans="1:19" ht="21.95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3"/>
      <c r="M11" s="288" t="str">
        <f>CONCATENATE("※0㎥～10㎥までは、同額　",TEXT(料金表!S6,"#,##0"),"円(税抜き)")</f>
        <v>※0㎥～10㎥までは、同額　700円(税抜き)</v>
      </c>
      <c r="N11" s="288"/>
      <c r="O11" s="288"/>
      <c r="P11" s="288"/>
      <c r="Q11" s="288"/>
      <c r="R11" s="13"/>
      <c r="S11" s="21"/>
    </row>
    <row r="12" spans="1:19" ht="21.95" customHeight="1" x14ac:dyDescent="0.15">
      <c r="A12" s="9"/>
      <c r="B12" s="22" t="str">
        <f>CONCATENATE(連合専用条件入力画面!H10*8,"㎥までは、",TEXT(上下水道料金計算!F101,"#,##0"),"円")</f>
        <v>80㎥までは、7,000円</v>
      </c>
      <c r="C12" s="22"/>
      <c r="D12" s="23"/>
      <c r="E12" s="24" t="str">
        <f>CONCATENATE("※0㎥～",上下水道料金計算!F98,"㎥までは、同額",TEXT(上下水道料金計算!F101*1.08,"#,##0"),"円(税込額)")</f>
        <v>※0㎥～80㎥までは、同額7,560円(税込額)</v>
      </c>
      <c r="F12" s="23"/>
      <c r="G12" s="23"/>
      <c r="H12" s="23"/>
      <c r="I12" s="10"/>
      <c r="J12" s="11"/>
      <c r="K12" s="12"/>
      <c r="L12" s="13"/>
      <c r="M12" s="13"/>
      <c r="N12" s="13"/>
      <c r="O12" s="13"/>
      <c r="P12" s="13"/>
      <c r="Q12" s="13"/>
      <c r="R12" s="13"/>
      <c r="S12" s="21"/>
    </row>
    <row r="13" spans="1:19" ht="21.9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 t="s">
        <v>80</v>
      </c>
      <c r="M13" s="13"/>
      <c r="N13" s="13"/>
      <c r="O13" s="13"/>
      <c r="P13" s="13"/>
      <c r="Q13" s="13"/>
      <c r="R13" s="13"/>
      <c r="S13" s="21"/>
    </row>
    <row r="14" spans="1:19" ht="21.95" customHeight="1" x14ac:dyDescent="0.15">
      <c r="A14" s="9"/>
      <c r="B14" s="290" t="str">
        <f>CONCATENATE(上下水道料金計算!H3,"㎥－",上下水道料金計算!F98,"㎥＝",上下水道料金計算!H3-上下水道料金計算!F98,"㎥")</f>
        <v>400㎥－80㎥＝320㎥</v>
      </c>
      <c r="C14" s="290"/>
      <c r="D14" s="290"/>
      <c r="E14" s="297" t="str">
        <f>CONCATENATE("のこりの",上下水道料金計算!H3-上下水道料金計算!F98,"㎥は")</f>
        <v>のこりの320㎥は</v>
      </c>
      <c r="F14" s="297"/>
      <c r="G14" s="10"/>
      <c r="H14" s="10"/>
      <c r="I14" s="10"/>
      <c r="J14" s="11"/>
      <c r="K14" s="12"/>
      <c r="L14" s="289" t="str">
        <f>IF(上下水道料金計算!B124="","",上下水道料金計算!A124)</f>
        <v>8㎥を超え30㎥まで</v>
      </c>
      <c r="M14" s="289"/>
      <c r="N14" s="289"/>
      <c r="O14" s="289"/>
      <c r="P14" s="13"/>
      <c r="Q14" s="13"/>
      <c r="R14" s="25"/>
      <c r="S14" s="21"/>
    </row>
    <row r="15" spans="1:19" ht="21.95" customHeight="1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302" t="str">
        <f>IF(上下水道料金計算!B124="","",(CONCATENATE(上下水道料金計算!B124,"㎥　×　",上下水道料金計算!D124,"円　＝　",TEXT(上下水道料金計算!F124,"#,##0"),"円(税抜き) ")))</f>
        <v xml:space="preserve">22㎥　×　70円　＝　1,540円(税抜き) </v>
      </c>
      <c r="M15" s="302"/>
      <c r="N15" s="302"/>
      <c r="O15" s="302"/>
      <c r="P15" s="15"/>
      <c r="Q15" s="15"/>
      <c r="R15" s="19">
        <f>上下水道料金計算!F124</f>
        <v>1540</v>
      </c>
      <c r="S15" s="20">
        <f>上下水道料金計算!B124</f>
        <v>22</v>
      </c>
    </row>
    <row r="16" spans="1:19" ht="21.95" customHeight="1" x14ac:dyDescent="0.15">
      <c r="A16" s="9"/>
      <c r="B16" s="303" t="str">
        <f>CONCATENATE("通常の従量料金は、",8,"㎥を越え",30,"㎥までは １㎥につき",料金表!S7,"円だが")</f>
        <v>通常の従量料金は、8㎥を越え30㎥までは １㎥につき70円だが</v>
      </c>
      <c r="C16" s="304"/>
      <c r="D16" s="304"/>
      <c r="E16" s="304"/>
      <c r="F16" s="304"/>
      <c r="G16" s="304"/>
      <c r="H16" s="304"/>
      <c r="I16" s="305"/>
      <c r="J16" s="11"/>
      <c r="K16" s="12"/>
      <c r="L16" s="13"/>
      <c r="M16" s="13"/>
      <c r="N16" s="13"/>
      <c r="O16" s="13"/>
      <c r="P16" s="13"/>
      <c r="Q16" s="13"/>
      <c r="R16" s="25"/>
      <c r="S16" s="21"/>
    </row>
    <row r="17" spans="1:19" ht="21.95" customHeight="1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289" t="str">
        <f>IF(上下水道料金計算!B125="","",上下水道料金計算!A125)</f>
        <v>30㎥を超え50㎥まで</v>
      </c>
      <c r="M17" s="289"/>
      <c r="N17" s="289"/>
      <c r="O17" s="289"/>
      <c r="P17" s="13"/>
      <c r="Q17" s="13"/>
      <c r="R17" s="25"/>
      <c r="S17" s="21"/>
    </row>
    <row r="18" spans="1:19" ht="21.95" customHeight="1" x14ac:dyDescent="0.15">
      <c r="A18" s="9"/>
      <c r="B18" s="298" t="s">
        <v>68</v>
      </c>
      <c r="C18" s="299"/>
      <c r="D18" s="26" t="str">
        <f>CONCATENATE(上下水道料金計算!B98,"㎥","×",上下水道料金計算!D6,"世帯＝",上下水道料金計算!F98,"㎥までは基本水量")</f>
        <v>8㎥×10世帯＝80㎥までは基本水量</v>
      </c>
      <c r="E18" s="26"/>
      <c r="F18" s="27"/>
      <c r="G18" s="26"/>
      <c r="H18" s="26"/>
      <c r="I18" s="28"/>
      <c r="J18" s="11"/>
      <c r="K18" s="12"/>
      <c r="L18" s="302" t="str">
        <f>IF(上下水道料金計算!B125="","",(CONCATENATE(上下水道料金計算!B125,"㎥　×　",上下水道料金計算!D125,"円　＝　",TEXT(上下水道料金計算!F125,"#,##0"),"円(税抜き)")))</f>
        <v>20㎥　×　85円　＝　1,700円(税抜き)</v>
      </c>
      <c r="M18" s="302"/>
      <c r="N18" s="302"/>
      <c r="O18" s="302"/>
      <c r="P18" s="15"/>
      <c r="Q18" s="15"/>
      <c r="R18" s="19">
        <f>上下水道料金計算!F125</f>
        <v>1700</v>
      </c>
      <c r="S18" s="20">
        <f>上下水道料金計算!B125</f>
        <v>20</v>
      </c>
    </row>
    <row r="19" spans="1:19" ht="21.95" customHeight="1" x14ac:dyDescent="0.15">
      <c r="A19" s="9"/>
      <c r="B19" s="300"/>
      <c r="C19" s="301"/>
      <c r="D19" s="23" t="str">
        <f>CONCATENATE(上下水道料金計算!F98,"㎥～","(","30㎥","×",上下水道料金計算!E3,"世帯＝",上下水道料金計算!C11*上下水道料金計算!E3,"㎥)までは１㎥につき",料金表!S7,"円となります。")</f>
        <v>80㎥～(30㎥×10世帯＝300㎥)までは１㎥につき70円となります。</v>
      </c>
      <c r="E19" s="23"/>
      <c r="F19" s="23"/>
      <c r="G19" s="23"/>
      <c r="H19" s="23"/>
      <c r="I19" s="29"/>
      <c r="J19" s="11"/>
      <c r="K19" s="12"/>
      <c r="L19" s="13"/>
      <c r="M19" s="13"/>
      <c r="N19" s="13"/>
      <c r="O19" s="13"/>
      <c r="P19" s="13"/>
      <c r="Q19" s="13"/>
      <c r="R19" s="25"/>
      <c r="S19" s="21"/>
    </row>
    <row r="20" spans="1:19" ht="21.95" customHeight="1" x14ac:dyDescent="0.15">
      <c r="A20" s="9"/>
      <c r="B20" s="30" t="str">
        <f>CONCATENATE(上下水道料金計算!C11*上下水道料金計算!E3,"㎥までは、１㎥につき",料金表!S7,"円の計算となります。")</f>
        <v>300㎥までは、１㎥につき70円の計算となります。</v>
      </c>
      <c r="C20" s="30"/>
      <c r="D20" s="30"/>
      <c r="E20" s="30"/>
      <c r="F20" s="30"/>
      <c r="G20" s="10"/>
      <c r="H20" s="10"/>
      <c r="I20" s="10"/>
      <c r="J20" s="11"/>
      <c r="K20" s="12"/>
      <c r="L20" s="289" t="str">
        <f>IF(上下水道料金計算!B126="","",上下水道料金計算!A126)</f>
        <v>50㎥を超え100㎥まで</v>
      </c>
      <c r="M20" s="289"/>
      <c r="N20" s="289"/>
      <c r="O20" s="289"/>
      <c r="P20" s="13"/>
      <c r="Q20" s="13"/>
      <c r="R20" s="25"/>
      <c r="S20" s="21"/>
    </row>
    <row r="21" spans="1:19" ht="21.95" customHeight="1" x14ac:dyDescent="0.15">
      <c r="A21" s="9"/>
      <c r="B21" s="31"/>
      <c r="C21" s="31"/>
      <c r="D21" s="31"/>
      <c r="E21" s="31"/>
      <c r="F21" s="31"/>
      <c r="G21" s="10"/>
      <c r="H21" s="10"/>
      <c r="I21" s="10"/>
      <c r="J21" s="11"/>
      <c r="K21" s="12"/>
      <c r="L21" s="302" t="str">
        <f>IF(上下水道料金計算!B126="","",(CONCATENATE(上下水道料金計算!B126,"㎥ ×　",上下水道料金計算!D126,"円"," ＝ ",TEXT(上下水道料金計算!F126,"#,##0"),"円(税抜き)")))</f>
        <v>50㎥ ×　100円 ＝ 5,000円(税抜き)</v>
      </c>
      <c r="M21" s="302"/>
      <c r="N21" s="302"/>
      <c r="O21" s="302"/>
      <c r="P21" s="15"/>
      <c r="Q21" s="15"/>
      <c r="R21" s="19">
        <f>上下水道料金計算!F126</f>
        <v>5000</v>
      </c>
      <c r="S21" s="20">
        <f>上下水道料金計算!B126</f>
        <v>50</v>
      </c>
    </row>
    <row r="22" spans="1:19" ht="21.95" customHeight="1" x14ac:dyDescent="0.15">
      <c r="A22" s="9"/>
      <c r="B22" s="10" t="s">
        <v>69</v>
      </c>
      <c r="C22" s="10"/>
      <c r="D22" s="10"/>
      <c r="E22" s="10"/>
      <c r="F22" s="10"/>
      <c r="G22" s="32" t="s">
        <v>71</v>
      </c>
      <c r="H22" s="32" t="s">
        <v>24</v>
      </c>
      <c r="I22" s="10"/>
      <c r="J22" s="11"/>
      <c r="K22" s="12"/>
      <c r="L22" s="13"/>
      <c r="M22" s="13"/>
      <c r="N22" s="13"/>
      <c r="O22" s="13"/>
      <c r="P22" s="13"/>
      <c r="Q22" s="13"/>
      <c r="R22" s="25"/>
      <c r="S22" s="21"/>
    </row>
    <row r="23" spans="1:19" ht="21.95" customHeight="1" x14ac:dyDescent="0.15">
      <c r="A23" s="9"/>
      <c r="B23" s="23" t="str">
        <f>CONCATENATE("基本料金　＝","基本水量(",上下水道料金計算!F98,"㎥)までは",TEXT(上下水道料金計算!F101,"#,##0"),"円(税抜き)")</f>
        <v>基本料金　＝基本水量(80㎥)までは7,000円(税抜き)</v>
      </c>
      <c r="C23" s="23"/>
      <c r="D23" s="23"/>
      <c r="E23" s="23"/>
      <c r="F23" s="23"/>
      <c r="G23" s="33">
        <f>上下水道料金計算!F101</f>
        <v>7000</v>
      </c>
      <c r="H23" s="34">
        <f>上下水道料金計算!F98</f>
        <v>80</v>
      </c>
      <c r="I23" s="23"/>
      <c r="J23" s="11"/>
      <c r="K23" s="12"/>
      <c r="L23" s="289" t="str">
        <f>IF(上下水道料金計算!B127="","",上下水道料金計算!A127)</f>
        <v>100㎥を超え400㎥まで</v>
      </c>
      <c r="M23" s="289"/>
      <c r="N23" s="289"/>
      <c r="O23" s="289"/>
      <c r="P23" s="13"/>
      <c r="Q23" s="13"/>
      <c r="R23" s="25"/>
      <c r="S23" s="21"/>
    </row>
    <row r="24" spans="1:19" ht="21.95" customHeight="1" x14ac:dyDescent="0.15">
      <c r="A24" s="9"/>
      <c r="B24" s="282" t="str">
        <f>IF(上下水道料金計算!B103="","",CONCATENATE(上下水道料金計算!A103,"=",上下水道料金計算!B103,"㎥　×　",上下水道料金計算!D103,"円　＝"))</f>
        <v>80㎥を超え300㎥まで=220㎥　×　70円　＝</v>
      </c>
      <c r="C24" s="282"/>
      <c r="D24" s="282"/>
      <c r="E24" s="282"/>
      <c r="F24" s="35"/>
      <c r="G24" s="36">
        <f>IF(B24="","",上下水道料金計算!B103*上下水道料金計算!D103)</f>
        <v>15400</v>
      </c>
      <c r="H24" s="37">
        <f>IF(上下水道料金計算!B103="","",上下水道料金計算!B103)</f>
        <v>220</v>
      </c>
      <c r="I24" s="35"/>
      <c r="J24" s="11"/>
      <c r="K24" s="12"/>
      <c r="L24" s="302" t="str">
        <f>IF(上下水道料金計算!B127="","",CONCATENATE(上下水道料金計算!B127,"㎥　×　",上下水道料金計算!D127,"円　＝　",TEXT(上下水道料金計算!F127,"#,##0"),"円(税抜き)"))</f>
        <v>300㎥　×　115円　＝　34,500円(税抜き)</v>
      </c>
      <c r="M24" s="302"/>
      <c r="N24" s="302"/>
      <c r="O24" s="302"/>
      <c r="P24" s="15"/>
      <c r="Q24" s="15"/>
      <c r="R24" s="19">
        <f>上下水道料金計算!F127</f>
        <v>34500</v>
      </c>
      <c r="S24" s="20">
        <f>上下水道料金計算!B127</f>
        <v>300</v>
      </c>
    </row>
    <row r="25" spans="1:19" ht="21.95" customHeight="1" x14ac:dyDescent="0.15">
      <c r="A25" s="9"/>
      <c r="B25" s="282" t="str">
        <f>IF(上下水道料金計算!B104="","",CONCATENATE(上下水道料金計算!A104,"=",上下水道料金計算!B32,"㎥　×　",料金表!S8,"円　＝"))</f>
        <v>300㎥を超え500㎥まで=100㎥　×　85円　＝</v>
      </c>
      <c r="C25" s="282"/>
      <c r="D25" s="282"/>
      <c r="E25" s="282"/>
      <c r="F25" s="31"/>
      <c r="G25" s="38">
        <f>IF(B25="","",上下水道料金計算!B104*上下水道料金計算!D104)</f>
        <v>8500</v>
      </c>
      <c r="H25" s="37">
        <f>IF(上下水道料金計算!B32="","",上下水道料金計算!B32)</f>
        <v>100</v>
      </c>
      <c r="I25" s="35"/>
      <c r="J25" s="11"/>
      <c r="K25" s="12"/>
      <c r="L25" s="53"/>
      <c r="M25" s="53"/>
      <c r="N25" s="53"/>
      <c r="O25" s="53"/>
      <c r="P25" s="53"/>
      <c r="Q25" s="53"/>
      <c r="R25" s="54"/>
      <c r="S25" s="55"/>
    </row>
    <row r="26" spans="1:19" ht="21.95" customHeight="1" x14ac:dyDescent="0.15">
      <c r="A26" s="9"/>
      <c r="B26" s="282" t="str">
        <f>IF(上下水道料金計算!B105="","",CONCATENATE(上下水道料金計算!A105,"=",上下水道料金計算!B33,"㎥　×　",料金表!S9,"円＝"))</f>
        <v/>
      </c>
      <c r="C26" s="282"/>
      <c r="D26" s="282"/>
      <c r="E26" s="282"/>
      <c r="F26" s="35"/>
      <c r="G26" s="36" t="str">
        <f>IF(B26="","",上下水道料金計算!B105*上下水道料金計算!D105)</f>
        <v/>
      </c>
      <c r="H26" s="37" t="str">
        <f>上下水道料金計算!B105</f>
        <v/>
      </c>
      <c r="I26" s="35"/>
      <c r="J26" s="11"/>
      <c r="K26" s="12"/>
      <c r="L26" s="102" t="str">
        <f>IF(上下水道料金計算!B128="","",上下水道料金計算!A128)</f>
        <v>400㎥を超えるもの</v>
      </c>
      <c r="M26" s="102"/>
      <c r="N26" s="102"/>
      <c r="O26" s="102"/>
      <c r="P26" s="102"/>
      <c r="Q26" s="13"/>
      <c r="R26" s="25"/>
      <c r="S26" s="39"/>
    </row>
    <row r="27" spans="1:19" ht="21.95" customHeight="1" x14ac:dyDescent="0.15">
      <c r="A27" s="9"/>
      <c r="B27" s="282" t="str">
        <f>IF(上下水道料金計算!B106="","",CONCATENATE(上下水道料金計算!A106,"=",上下水道料金計算!B106,"㎥　×　",料金表!S10,"円＝"))</f>
        <v/>
      </c>
      <c r="C27" s="282"/>
      <c r="D27" s="282"/>
      <c r="E27" s="282"/>
      <c r="F27" s="103"/>
      <c r="G27" s="36" t="str">
        <f>IF(B27="","",上下水道料金計算!B106*上下水道料金計算!D106)</f>
        <v/>
      </c>
      <c r="H27" s="37" t="str">
        <f>上下水道料金計算!B106</f>
        <v/>
      </c>
      <c r="I27" s="35"/>
      <c r="J27" s="11"/>
      <c r="K27" s="12"/>
      <c r="L27" s="302" t="str">
        <f>IF(上下水道料金計算!B128="","",CONCATENATE(上下水道料金計算!B128,"㎥　×　",上下水道料金計算!D128,"円　＝　",TEXT(上下水道料金計算!F128,"#,##0"),"円(税抜き)"))</f>
        <v>0㎥　×　130円　＝　0円(税抜き)</v>
      </c>
      <c r="M27" s="302"/>
      <c r="N27" s="302"/>
      <c r="O27" s="302"/>
      <c r="P27" s="15"/>
      <c r="Q27" s="15"/>
      <c r="R27" s="56">
        <f>上下水道料金計算!F128</f>
        <v>0</v>
      </c>
      <c r="S27" s="107">
        <f>上下水道料金計算!B128</f>
        <v>0</v>
      </c>
    </row>
    <row r="28" spans="1:19" ht="21.95" customHeight="1" x14ac:dyDescent="0.15">
      <c r="A28" s="9"/>
      <c r="B28" s="282" t="str">
        <f>IF(上下水道料金計算!B107="","",CONCATENATE(上下水道料金計算!A107,"=",上下水道料金計算!B35,"㎥　×　",料金表!S11,"円＝"))</f>
        <v/>
      </c>
      <c r="C28" s="282"/>
      <c r="D28" s="282"/>
      <c r="E28" s="282"/>
      <c r="F28" s="23"/>
      <c r="G28" s="57" t="str">
        <f>IF(上下水道料金計算!B107="","",上下水道料金計算!F36)</f>
        <v/>
      </c>
      <c r="H28" s="59" t="str">
        <f>IF(G28="","",H23)</f>
        <v/>
      </c>
      <c r="I28" s="23"/>
      <c r="J28" s="11"/>
      <c r="K28" s="12"/>
      <c r="L28" s="13"/>
      <c r="M28" s="13"/>
      <c r="N28" s="13"/>
      <c r="O28" s="13"/>
      <c r="P28" s="13"/>
      <c r="Q28" s="13"/>
      <c r="R28" s="13"/>
      <c r="S28" s="106"/>
    </row>
    <row r="29" spans="1:19" ht="21.95" customHeight="1" x14ac:dyDescent="0.15">
      <c r="A29" s="9"/>
      <c r="B29" s="104"/>
      <c r="C29" s="104"/>
      <c r="D29" s="104"/>
      <c r="E29" s="104"/>
      <c r="F29" s="10"/>
      <c r="G29" s="41"/>
      <c r="H29" s="105"/>
      <c r="I29" s="10"/>
      <c r="J29" s="11"/>
      <c r="K29" s="12"/>
      <c r="L29" s="13"/>
      <c r="M29" s="13"/>
      <c r="N29" s="13"/>
      <c r="O29" s="13"/>
      <c r="P29" s="13"/>
      <c r="Q29" s="13" t="s">
        <v>81</v>
      </c>
      <c r="R29" s="25">
        <f>SUM(R10:R27)</f>
        <v>43440</v>
      </c>
      <c r="S29" s="40">
        <f>SUM(S10:S27)</f>
        <v>400</v>
      </c>
    </row>
    <row r="30" spans="1:19" ht="21.95" customHeight="1" x14ac:dyDescent="0.15">
      <c r="A30" s="9"/>
      <c r="B30" s="31"/>
      <c r="C30" s="31"/>
      <c r="D30" s="31"/>
      <c r="E30" s="31"/>
      <c r="F30" s="32" t="s">
        <v>73</v>
      </c>
      <c r="G30" s="41">
        <f>SUM(G23:G28)</f>
        <v>30900</v>
      </c>
      <c r="H30" s="42">
        <f>SUM(H23:H27)</f>
        <v>400</v>
      </c>
      <c r="I30" s="10"/>
      <c r="J30" s="11"/>
      <c r="K30" s="12"/>
      <c r="L30" s="13"/>
      <c r="M30" s="13"/>
      <c r="N30" s="13"/>
      <c r="O30" s="13"/>
      <c r="P30" s="13"/>
      <c r="Q30" s="13"/>
      <c r="R30" s="13"/>
      <c r="S30" s="14"/>
    </row>
    <row r="31" spans="1:19" ht="21.95" customHeight="1" x14ac:dyDescent="0.15">
      <c r="A31" s="9"/>
      <c r="B31" s="31"/>
      <c r="C31" s="31"/>
      <c r="D31" s="31"/>
      <c r="E31" s="31"/>
      <c r="F31" s="10"/>
      <c r="G31" s="10"/>
      <c r="H31" s="10"/>
      <c r="I31" s="10"/>
      <c r="J31" s="11"/>
      <c r="K31" s="12"/>
      <c r="L31" s="13"/>
      <c r="M31" s="13"/>
      <c r="N31" s="13"/>
      <c r="O31" s="13"/>
      <c r="P31" s="13"/>
      <c r="Q31" s="13"/>
      <c r="R31" s="13"/>
      <c r="S31" s="14"/>
    </row>
    <row r="32" spans="1:19" ht="21.95" customHeight="1" x14ac:dyDescent="0.15">
      <c r="A32" s="9"/>
      <c r="B32" s="31"/>
      <c r="C32" s="31"/>
      <c r="D32" s="31"/>
      <c r="E32" s="31"/>
      <c r="F32" s="10"/>
      <c r="G32" s="10"/>
      <c r="H32" s="10"/>
      <c r="I32" s="10"/>
      <c r="J32" s="11"/>
      <c r="K32" s="12"/>
      <c r="L32" s="13"/>
      <c r="M32" s="13"/>
      <c r="N32" s="13"/>
      <c r="O32" s="13"/>
      <c r="P32" s="13"/>
      <c r="Q32" s="13"/>
      <c r="R32" s="13"/>
      <c r="S32" s="14"/>
    </row>
    <row r="33" spans="1:19" ht="21.95" customHeight="1" x14ac:dyDescent="0.15">
      <c r="A33" s="9"/>
      <c r="B33" s="31"/>
      <c r="C33" s="31"/>
      <c r="D33" s="31"/>
      <c r="E33" s="31"/>
      <c r="F33" s="10"/>
      <c r="G33" s="10"/>
      <c r="H33" s="10"/>
      <c r="I33" s="10"/>
      <c r="J33" s="11"/>
      <c r="K33" s="12"/>
      <c r="L33" s="13"/>
      <c r="M33" s="13"/>
      <c r="N33" s="13"/>
      <c r="O33" s="13"/>
      <c r="P33" s="13"/>
      <c r="Q33" s="13"/>
      <c r="R33" s="13"/>
      <c r="S33" s="14"/>
    </row>
    <row r="34" spans="1:19" ht="21.95" customHeight="1" x14ac:dyDescent="0.15">
      <c r="A34" s="9"/>
      <c r="B34" s="10" t="str">
        <f>CONCATENATE(TEXT(G30,"#,##0"),"円　×　1.08　＝",TEXT((G30*1.08),"#,##0.0"),"円")</f>
        <v>30,900円　×　1.08　＝33,372.0円</v>
      </c>
      <c r="C34" s="10"/>
      <c r="D34" s="10"/>
      <c r="E34" s="10"/>
      <c r="F34" s="10"/>
      <c r="G34" s="10"/>
      <c r="H34" s="10"/>
      <c r="I34" s="10"/>
      <c r="J34" s="11"/>
      <c r="K34" s="12"/>
      <c r="L34" s="13" t="str">
        <f>CONCATENATE(TEXT(R29,"#,##0"),"円　×　1.08　＝",TEXT(R29*1.08,"#,##0.0"),"円")</f>
        <v>43,440円　×　1.08　＝46,915.2円</v>
      </c>
      <c r="M34" s="13"/>
      <c r="N34" s="13"/>
      <c r="O34" s="13"/>
      <c r="P34" s="13"/>
      <c r="Q34" s="13"/>
      <c r="R34" s="13"/>
      <c r="S34" s="14"/>
    </row>
    <row r="35" spans="1:19" ht="21.95" customHeight="1" x14ac:dyDescent="0.15">
      <c r="A35" s="9"/>
      <c r="B35" s="10" t="s">
        <v>74</v>
      </c>
      <c r="C35" s="10"/>
      <c r="D35" s="10"/>
      <c r="E35" s="41">
        <f>ROUNDDOWN(G30*1.08,0)</f>
        <v>33372</v>
      </c>
      <c r="F35" s="10"/>
      <c r="G35" s="10"/>
      <c r="H35" s="10"/>
      <c r="I35" s="10"/>
      <c r="J35" s="11"/>
      <c r="K35" s="12"/>
      <c r="L35" s="289" t="s">
        <v>82</v>
      </c>
      <c r="M35" s="289"/>
      <c r="N35" s="289"/>
      <c r="O35" s="25">
        <f>ROUNDDOWN(R29*1.08,0)</f>
        <v>46915</v>
      </c>
      <c r="P35" s="13"/>
      <c r="Q35" s="13"/>
      <c r="R35" s="13"/>
      <c r="S35" s="14"/>
    </row>
    <row r="36" spans="1:19" ht="21.95" customHeight="1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1"/>
      <c r="K36" s="12"/>
      <c r="L36" s="13"/>
      <c r="M36" s="13"/>
      <c r="N36" s="13"/>
      <c r="O36" s="13"/>
      <c r="P36" s="13"/>
      <c r="Q36" s="13"/>
      <c r="R36" s="13"/>
      <c r="S36" s="14"/>
    </row>
    <row r="37" spans="1:19" ht="21.95" customHeight="1" x14ac:dyDescent="0.15">
      <c r="A37" s="9"/>
      <c r="B37" s="284" t="str">
        <f>CONCATENATE("口径　",上下水道料金計算!C3,"㎜　",上下水道料金計算!E3,"世帯　",上下水道料金計算!H3,"㎥の使用水量料金は")</f>
        <v>口径　30㎜　10世帯　400㎥の使用水量料金は</v>
      </c>
      <c r="C37" s="284"/>
      <c r="D37" s="284"/>
      <c r="E37" s="284"/>
      <c r="F37" s="284"/>
      <c r="G37" s="43">
        <f>E35</f>
        <v>33372</v>
      </c>
      <c r="H37" s="44" t="s">
        <v>75</v>
      </c>
      <c r="I37" s="10"/>
      <c r="J37" s="11"/>
      <c r="K37" s="12"/>
      <c r="L37" s="13" t="str">
        <f>CONCATENATE("口径",上下水道料金計算!C49,"㎜　",上下水道料金計算!H49,"㎥の使用水量料金は")</f>
        <v>口径40㎜　400㎥の使用水量料金は</v>
      </c>
      <c r="M37" s="13"/>
      <c r="N37" s="13"/>
      <c r="O37" s="13"/>
      <c r="P37" s="45">
        <f>O35</f>
        <v>46915</v>
      </c>
      <c r="Q37" s="13" t="s">
        <v>75</v>
      </c>
      <c r="R37" s="13"/>
      <c r="S37" s="14"/>
    </row>
    <row r="38" spans="1:19" ht="21.95" customHeight="1" thickBo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8"/>
      <c r="K38" s="49"/>
      <c r="L38" s="50"/>
      <c r="M38" s="50"/>
      <c r="N38" s="50"/>
      <c r="O38" s="50"/>
      <c r="P38" s="50"/>
      <c r="Q38" s="50"/>
      <c r="R38" s="50"/>
      <c r="S38" s="51"/>
    </row>
  </sheetData>
  <sheetProtection sheet="1" objects="1" scenarios="1"/>
  <mergeCells count="27">
    <mergeCell ref="B16:I16"/>
    <mergeCell ref="C2:H2"/>
    <mergeCell ref="M2:R2"/>
    <mergeCell ref="B4:F4"/>
    <mergeCell ref="B6:E6"/>
    <mergeCell ref="B10:H10"/>
    <mergeCell ref="M11:Q11"/>
    <mergeCell ref="B14:D14"/>
    <mergeCell ref="E14:F14"/>
    <mergeCell ref="L14:O14"/>
    <mergeCell ref="L15:O15"/>
    <mergeCell ref="B27:E27"/>
    <mergeCell ref="L35:N35"/>
    <mergeCell ref="B37:F37"/>
    <mergeCell ref="B28:E28"/>
    <mergeCell ref="B8:F8"/>
    <mergeCell ref="B24:E24"/>
    <mergeCell ref="L24:O24"/>
    <mergeCell ref="B25:E25"/>
    <mergeCell ref="B26:E26"/>
    <mergeCell ref="L27:O27"/>
    <mergeCell ref="L17:O17"/>
    <mergeCell ref="B18:C19"/>
    <mergeCell ref="L18:O18"/>
    <mergeCell ref="L20:O20"/>
    <mergeCell ref="L21:O21"/>
    <mergeCell ref="L23:O23"/>
  </mergeCells>
  <phoneticPr fontId="2"/>
  <pageMargins left="0.56999999999999995" right="0.44" top="0.75" bottom="0.37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戻る">
                <anchor moveWithCells="1" siz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10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連合専用条件入力画面</vt:lpstr>
      <vt:lpstr>上下水道料金計算</vt:lpstr>
      <vt:lpstr>料金表</vt:lpstr>
      <vt:lpstr>水道連合専用との比較表</vt:lpstr>
      <vt:lpstr>下水道説明資料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恩納村役場</dc:creator>
  <cp:lastModifiedBy>i-user</cp:lastModifiedBy>
  <cp:lastPrinted>2014-12-18T05:55:57Z</cp:lastPrinted>
  <dcterms:created xsi:type="dcterms:W3CDTF">2014-07-14T00:45:51Z</dcterms:created>
  <dcterms:modified xsi:type="dcterms:W3CDTF">2019-05-14T06:56:09Z</dcterms:modified>
</cp:coreProperties>
</file>